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45" windowWidth="5625" windowHeight="7500" activeTab="3"/>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Identities'!$B$8:$M$989</definedName>
    <definedName name="_xlnm._FilterDatabase" localSheetId="2" hidden="1">Glossary!$B$14:$H$95</definedName>
    <definedName name="HOU_CF_IF">Lookups!$B$8:$J$23</definedName>
    <definedName name="LED_Codes">Lookups!$V$8:$X$14</definedName>
    <definedName name="LPD_BuildingArea">Lookups!$E$31:$J$67</definedName>
    <definedName name="LPD_SpaceBySpace">Lookups!$B$31:$D$142</definedName>
    <definedName name="Schedules">OFFSET(Lookups!$T$7,0,0,Lookups!$T$13,1)</definedName>
    <definedName name="Space_Type_Details">'General Information'!$C$40:$V$60</definedName>
    <definedName name="Space_Types">OFFSET(Lookups!$T$16,0,0,Lookups!$T$36,1)</definedName>
    <definedName name="SVG_Factors">Lookups!$Q$8:$R$21</definedName>
    <definedName name="SVG_Factors_NC">Lookups!$P$26:$R$40</definedName>
    <definedName name="Wattage_Table">'Fixture Identities'!$B$8:$M$989</definedName>
  </definedNames>
  <calcPr calcId="145621"/>
</workbook>
</file>

<file path=xl/calcChain.xml><?xml version="1.0" encoding="utf-8"?>
<calcChain xmlns="http://schemas.openxmlformats.org/spreadsheetml/2006/main">
  <c r="C41" i="5" l="1"/>
  <c r="I9" i="7"/>
  <c r="I10" i="7"/>
  <c r="Q40" i="5"/>
  <c r="Q42" i="5"/>
  <c r="Q43" i="5"/>
  <c r="Q44" i="5"/>
  <c r="Q45" i="5"/>
  <c r="Q46" i="5"/>
  <c r="Q47" i="5"/>
  <c r="Q48" i="5"/>
  <c r="Q49" i="5"/>
  <c r="Q50" i="5"/>
  <c r="Q51" i="5"/>
  <c r="Q52" i="5"/>
  <c r="Q53" i="5"/>
  <c r="Q54" i="5"/>
  <c r="Q55" i="5"/>
  <c r="Q56" i="5"/>
  <c r="Q57" i="5"/>
  <c r="Q58" i="5"/>
  <c r="Q59" i="5"/>
  <c r="Q60" i="5"/>
  <c r="V14" i="6"/>
  <c r="W14" i="6"/>
  <c r="V15" i="6"/>
  <c r="W16" i="6"/>
  <c r="V17" i="6"/>
  <c r="V18" i="6"/>
  <c r="V19" i="6"/>
  <c r="V20" i="6"/>
  <c r="W20" i="6"/>
  <c r="V22" i="6"/>
  <c r="W22" i="6"/>
  <c r="V23" i="6"/>
  <c r="W24" i="6"/>
  <c r="V25" i="6"/>
  <c r="V26" i="6"/>
  <c r="V27" i="6"/>
  <c r="W27" i="6"/>
  <c r="V28" i="6"/>
  <c r="V29" i="6"/>
  <c r="W29" i="6"/>
  <c r="V30" i="6"/>
  <c r="V31" i="6"/>
  <c r="W31" i="6"/>
  <c r="V32" i="6"/>
  <c r="V33" i="6"/>
  <c r="W33" i="6"/>
  <c r="V34" i="6"/>
  <c r="V35" i="6"/>
  <c r="W35" i="6"/>
  <c r="V36" i="6"/>
  <c r="V37" i="6"/>
  <c r="W37" i="6"/>
  <c r="V38" i="6"/>
  <c r="V39" i="6"/>
  <c r="W39" i="6"/>
  <c r="V40" i="6"/>
  <c r="V41" i="6"/>
  <c r="W41" i="6"/>
  <c r="V42" i="6"/>
  <c r="V43" i="6"/>
  <c r="W43" i="6"/>
  <c r="V44" i="6"/>
  <c r="V45" i="6"/>
  <c r="W45" i="6"/>
  <c r="V46" i="6"/>
  <c r="V47" i="6"/>
  <c r="W47" i="6"/>
  <c r="V48" i="6"/>
  <c r="V49" i="6"/>
  <c r="W49" i="6"/>
  <c r="V50" i="6"/>
  <c r="V51" i="6"/>
  <c r="W51" i="6"/>
  <c r="V52" i="6"/>
  <c r="V53" i="6"/>
  <c r="W53" i="6"/>
  <c r="V54" i="6"/>
  <c r="V55" i="6"/>
  <c r="W55" i="6"/>
  <c r="V56" i="6"/>
  <c r="V57" i="6"/>
  <c r="W57" i="6"/>
  <c r="V58" i="6"/>
  <c r="V59" i="6"/>
  <c r="W59" i="6"/>
  <c r="V60" i="6"/>
  <c r="V61" i="6"/>
  <c r="W61" i="6"/>
  <c r="V62" i="6"/>
  <c r="V63" i="6"/>
  <c r="W63" i="6"/>
  <c r="V64" i="6"/>
  <c r="V65" i="6"/>
  <c r="W65" i="6"/>
  <c r="V66" i="6"/>
  <c r="W66" i="6"/>
  <c r="V67" i="6"/>
  <c r="W67" i="6"/>
  <c r="V68" i="6"/>
  <c r="W68" i="6"/>
  <c r="V69" i="6"/>
  <c r="W69" i="6"/>
  <c r="V70" i="6"/>
  <c r="W70" i="6"/>
  <c r="V71" i="6"/>
  <c r="W71" i="6"/>
  <c r="V72" i="6"/>
  <c r="W72" i="6"/>
  <c r="V73" i="6"/>
  <c r="W73" i="6"/>
  <c r="V74" i="6"/>
  <c r="W74" i="6"/>
  <c r="V75" i="6"/>
  <c r="W75" i="6"/>
  <c r="V76" i="6"/>
  <c r="W76" i="6"/>
  <c r="V77" i="6"/>
  <c r="W77" i="6"/>
  <c r="V78" i="6"/>
  <c r="W78" i="6"/>
  <c r="V79" i="6"/>
  <c r="W79" i="6"/>
  <c r="V80" i="6"/>
  <c r="W80" i="6"/>
  <c r="V81" i="6"/>
  <c r="W81" i="6"/>
  <c r="V82" i="6"/>
  <c r="W82" i="6"/>
  <c r="W13" i="6"/>
  <c r="V13" i="6"/>
  <c r="AF65" i="5"/>
  <c r="AE65" i="5"/>
  <c r="AD65" i="5"/>
  <c r="AC65" i="5"/>
  <c r="AF64" i="5"/>
  <c r="AE64" i="5"/>
  <c r="AD64" i="5"/>
  <c r="AC64" i="5"/>
  <c r="AF63" i="5"/>
  <c r="AE63" i="5"/>
  <c r="AD63" i="5"/>
  <c r="AC63" i="5"/>
  <c r="AC62" i="5"/>
  <c r="AF62" i="5"/>
  <c r="AE62" i="5"/>
  <c r="AD62" i="5"/>
  <c r="AF61" i="5"/>
  <c r="AE61" i="5"/>
  <c r="AD61" i="5"/>
  <c r="AC61" i="5"/>
  <c r="W64" i="6" l="1"/>
  <c r="W62" i="6"/>
  <c r="W60" i="6"/>
  <c r="W58" i="6"/>
  <c r="W56" i="6"/>
  <c r="W54" i="6"/>
  <c r="W52" i="6"/>
  <c r="W50" i="6"/>
  <c r="W48" i="6"/>
  <c r="W46" i="6"/>
  <c r="W44" i="6"/>
  <c r="W42" i="6"/>
  <c r="W40" i="6"/>
  <c r="W38" i="6"/>
  <c r="W36" i="6"/>
  <c r="W34" i="6"/>
  <c r="W32" i="6"/>
  <c r="W30" i="6"/>
  <c r="W28" i="6"/>
  <c r="W26" i="6"/>
  <c r="V24" i="6"/>
  <c r="V21" i="6"/>
  <c r="W18" i="6"/>
  <c r="V16" i="6"/>
  <c r="W25" i="6"/>
  <c r="W23" i="6"/>
  <c r="W21" i="6"/>
  <c r="W19" i="6"/>
  <c r="W17" i="6"/>
  <c r="W15" i="6"/>
  <c r="D41" i="5"/>
  <c r="Q41" i="5" s="1"/>
  <c r="O41" i="5"/>
  <c r="K11" i="6"/>
  <c r="C12" i="6"/>
  <c r="J11" i="6"/>
  <c r="O40" i="5"/>
  <c r="T42" i="5"/>
  <c r="T43" i="5"/>
  <c r="T44" i="5"/>
  <c r="T45" i="5"/>
  <c r="T46" i="5"/>
  <c r="T47" i="5"/>
  <c r="T48" i="5"/>
  <c r="T49" i="5"/>
  <c r="T50" i="5"/>
  <c r="T51" i="5"/>
  <c r="T52" i="5"/>
  <c r="T53" i="5"/>
  <c r="T54" i="5"/>
  <c r="T55" i="5"/>
  <c r="T56" i="5"/>
  <c r="T57" i="5"/>
  <c r="T58" i="5"/>
  <c r="T59" i="5"/>
  <c r="T60" i="5"/>
  <c r="AD27" i="5"/>
  <c r="AB27" i="5"/>
  <c r="V27" i="5"/>
  <c r="T27" i="5"/>
  <c r="T28" i="5" s="1"/>
  <c r="D40" i="5"/>
  <c r="T40" i="5" s="1"/>
  <c r="B31" i="5"/>
  <c r="C22" i="9"/>
  <c r="T7" i="9"/>
  <c r="T15" i="6"/>
  <c r="U15" i="6"/>
  <c r="T16" i="6"/>
  <c r="U16" i="6"/>
  <c r="T17" i="6"/>
  <c r="U17" i="6"/>
  <c r="T18" i="6"/>
  <c r="U18" i="6"/>
  <c r="T19" i="6"/>
  <c r="U19" i="6"/>
  <c r="T20" i="6"/>
  <c r="U20" i="6"/>
  <c r="T21" i="6"/>
  <c r="U21" i="6"/>
  <c r="T22" i="6"/>
  <c r="U22" i="6"/>
  <c r="T23" i="6"/>
  <c r="U23" i="6"/>
  <c r="T24" i="6"/>
  <c r="U24" i="6"/>
  <c r="T25" i="6"/>
  <c r="U25" i="6"/>
  <c r="T26" i="6"/>
  <c r="U26" i="6"/>
  <c r="T27" i="6"/>
  <c r="U27" i="6"/>
  <c r="T28" i="6"/>
  <c r="U28" i="6"/>
  <c r="T29" i="6"/>
  <c r="U29" i="6"/>
  <c r="T30" i="6"/>
  <c r="U30" i="6"/>
  <c r="T31" i="6"/>
  <c r="U31" i="6"/>
  <c r="T32" i="6"/>
  <c r="U32" i="6"/>
  <c r="T33" i="6"/>
  <c r="U33" i="6"/>
  <c r="T34" i="6"/>
  <c r="U34" i="6"/>
  <c r="T35" i="6"/>
  <c r="U35" i="6"/>
  <c r="T36" i="6"/>
  <c r="U36" i="6"/>
  <c r="T37" i="6"/>
  <c r="U37" i="6"/>
  <c r="T38" i="6"/>
  <c r="U38" i="6"/>
  <c r="T39" i="6"/>
  <c r="U39" i="6"/>
  <c r="T40" i="6"/>
  <c r="U40" i="6"/>
  <c r="T41" i="6"/>
  <c r="U41" i="6"/>
  <c r="T42" i="6"/>
  <c r="U42" i="6"/>
  <c r="T43" i="6"/>
  <c r="U43" i="6"/>
  <c r="T44" i="6"/>
  <c r="U44" i="6"/>
  <c r="T45" i="6"/>
  <c r="U45" i="6"/>
  <c r="T46" i="6"/>
  <c r="U46" i="6"/>
  <c r="T47" i="6"/>
  <c r="U47" i="6"/>
  <c r="T48" i="6"/>
  <c r="U48" i="6"/>
  <c r="T49" i="6"/>
  <c r="U49" i="6"/>
  <c r="T50" i="6"/>
  <c r="U50" i="6"/>
  <c r="T51" i="6"/>
  <c r="U51" i="6"/>
  <c r="T52" i="6"/>
  <c r="U52" i="6"/>
  <c r="T53" i="6"/>
  <c r="U53" i="6"/>
  <c r="T54" i="6"/>
  <c r="U54" i="6"/>
  <c r="T55" i="6"/>
  <c r="U55" i="6"/>
  <c r="T56" i="6"/>
  <c r="U56" i="6"/>
  <c r="T57" i="6"/>
  <c r="U57" i="6"/>
  <c r="T58" i="6"/>
  <c r="U58" i="6"/>
  <c r="T59" i="6"/>
  <c r="U59" i="6"/>
  <c r="T60" i="6"/>
  <c r="U60" i="6"/>
  <c r="T61" i="6"/>
  <c r="U61" i="6"/>
  <c r="T62" i="6"/>
  <c r="U62" i="6"/>
  <c r="T63" i="6"/>
  <c r="U63" i="6"/>
  <c r="T64" i="6"/>
  <c r="U64" i="6"/>
  <c r="T65" i="6"/>
  <c r="U65" i="6"/>
  <c r="T66" i="6"/>
  <c r="U66" i="6"/>
  <c r="T67" i="6"/>
  <c r="U67" i="6"/>
  <c r="T68" i="6"/>
  <c r="U68" i="6"/>
  <c r="T69" i="6"/>
  <c r="U69" i="6"/>
  <c r="T70" i="6"/>
  <c r="U70" i="6"/>
  <c r="T71" i="6"/>
  <c r="U71" i="6"/>
  <c r="T72" i="6"/>
  <c r="U72" i="6"/>
  <c r="T73" i="6"/>
  <c r="U73" i="6"/>
  <c r="T74" i="6"/>
  <c r="U74" i="6"/>
  <c r="T75" i="6"/>
  <c r="U75" i="6"/>
  <c r="T76" i="6"/>
  <c r="U76" i="6"/>
  <c r="T77" i="6"/>
  <c r="U77" i="6"/>
  <c r="T78" i="6"/>
  <c r="U78" i="6"/>
  <c r="T79" i="6"/>
  <c r="U79" i="6"/>
  <c r="T80" i="6"/>
  <c r="U80" i="6"/>
  <c r="T81" i="6"/>
  <c r="U81" i="6"/>
  <c r="T82" i="6"/>
  <c r="U82" i="6"/>
  <c r="L11" i="6" l="1"/>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R27" i="5"/>
  <c r="Y27" i="5"/>
  <c r="P27" i="5"/>
  <c r="I19" i="7"/>
  <c r="B19" i="7" s="1"/>
  <c r="L19" i="7" s="1"/>
  <c r="H19" i="7"/>
  <c r="E19" i="7"/>
  <c r="I18" i="7"/>
  <c r="B18" i="7" s="1"/>
  <c r="L18" i="7" s="1"/>
  <c r="H18" i="7"/>
  <c r="E18" i="7"/>
  <c r="I17" i="7"/>
  <c r="B17" i="7" s="1"/>
  <c r="L17" i="7" s="1"/>
  <c r="H17" i="7"/>
  <c r="E17" i="7"/>
  <c r="I16" i="7"/>
  <c r="B16" i="7" s="1"/>
  <c r="L16" i="7" s="1"/>
  <c r="H16" i="7"/>
  <c r="E16" i="7"/>
  <c r="I15" i="7"/>
  <c r="B15" i="7" s="1"/>
  <c r="L15" i="7" s="1"/>
  <c r="H15" i="7"/>
  <c r="E15" i="7"/>
  <c r="I24" i="7"/>
  <c r="B24" i="7" s="1"/>
  <c r="L24" i="7" s="1"/>
  <c r="H24" i="7"/>
  <c r="E24" i="7"/>
  <c r="I23" i="7"/>
  <c r="B23" i="7" s="1"/>
  <c r="L23" i="7" s="1"/>
  <c r="H23" i="7"/>
  <c r="E23" i="7"/>
  <c r="I22" i="7"/>
  <c r="B22" i="7" s="1"/>
  <c r="L22" i="7" s="1"/>
  <c r="H22" i="7"/>
  <c r="E22" i="7"/>
  <c r="I21" i="7"/>
  <c r="B21" i="7" s="1"/>
  <c r="L21" i="7" s="1"/>
  <c r="H21" i="7"/>
  <c r="E21" i="7"/>
  <c r="I20" i="7"/>
  <c r="B20" i="7" s="1"/>
  <c r="L20" i="7" s="1"/>
  <c r="H20" i="7"/>
  <c r="E20" i="7"/>
  <c r="K989" i="7" l="1"/>
  <c r="K988" i="7"/>
  <c r="C31" i="9" l="1"/>
  <c r="T41" i="5" s="1"/>
  <c r="K983" i="7"/>
  <c r="H983" i="7"/>
  <c r="K985" i="7"/>
  <c r="H985" i="7"/>
  <c r="K984" i="7"/>
  <c r="K986" i="7"/>
  <c r="K987" i="7"/>
  <c r="K982" i="7"/>
  <c r="H987" i="7"/>
  <c r="H986" i="7"/>
  <c r="H984" i="7"/>
  <c r="H982" i="7"/>
  <c r="O37" i="5" l="1"/>
  <c r="T34" i="9"/>
  <c r="T35" i="9"/>
  <c r="T17" i="9"/>
  <c r="T18" i="9"/>
  <c r="T19" i="9"/>
  <c r="T20" i="9"/>
  <c r="T21" i="9"/>
  <c r="T22" i="9"/>
  <c r="T23" i="9"/>
  <c r="T24" i="9"/>
  <c r="T25" i="9"/>
  <c r="T26" i="9"/>
  <c r="T27" i="9"/>
  <c r="T28" i="9"/>
  <c r="T29" i="9"/>
  <c r="T30" i="9"/>
  <c r="T31" i="9"/>
  <c r="T32" i="9"/>
  <c r="T33" i="9"/>
  <c r="T16" i="9"/>
  <c r="M8" i="5"/>
  <c r="C27" i="5"/>
  <c r="AC56" i="5"/>
  <c r="AD56" i="5"/>
  <c r="AE56" i="5"/>
  <c r="AF56" i="5"/>
  <c r="AC57" i="5"/>
  <c r="AD57" i="5"/>
  <c r="AE57" i="5"/>
  <c r="AF57" i="5"/>
  <c r="AC58" i="5"/>
  <c r="AD58" i="5"/>
  <c r="AE58" i="5"/>
  <c r="AF58" i="5"/>
  <c r="AC59" i="5"/>
  <c r="AD59" i="5"/>
  <c r="AE59" i="5"/>
  <c r="AF59" i="5"/>
  <c r="AD55" i="5"/>
  <c r="AE55" i="5"/>
  <c r="AF55" i="5"/>
  <c r="AC55" i="5"/>
  <c r="T36" i="9" l="1"/>
  <c r="T12" i="9"/>
  <c r="T11" i="9"/>
  <c r="T10" i="9"/>
  <c r="T9" i="9"/>
  <c r="T8" i="9"/>
  <c r="T13" i="9" l="1"/>
  <c r="D28" i="8"/>
  <c r="D29" i="8"/>
  <c r="D27" i="8"/>
  <c r="H22" i="6"/>
  <c r="H24" i="6"/>
  <c r="H26" i="6"/>
  <c r="H28" i="6"/>
  <c r="H30" i="6"/>
  <c r="H32" i="6"/>
  <c r="H34" i="6"/>
  <c r="H38" i="6"/>
  <c r="H54" i="6"/>
  <c r="H57" i="6"/>
  <c r="H59" i="6"/>
  <c r="H60" i="6"/>
  <c r="H61" i="6"/>
  <c r="H64" i="6"/>
  <c r="H67" i="6"/>
  <c r="H68" i="6"/>
  <c r="H69" i="6"/>
  <c r="H72" i="6"/>
  <c r="H75" i="6"/>
  <c r="H76" i="6"/>
  <c r="H77" i="6"/>
  <c r="H80" i="6"/>
  <c r="X14" i="6"/>
  <c r="Y14" i="6"/>
  <c r="X15" i="6"/>
  <c r="Y15" i="6"/>
  <c r="X16" i="6"/>
  <c r="Y16" i="6"/>
  <c r="X17" i="6"/>
  <c r="Y17" i="6"/>
  <c r="X18" i="6"/>
  <c r="Y18" i="6"/>
  <c r="X19" i="6"/>
  <c r="Y19" i="6"/>
  <c r="X20" i="6"/>
  <c r="Y20" i="6"/>
  <c r="X21" i="6"/>
  <c r="Y21" i="6"/>
  <c r="X22" i="6"/>
  <c r="Y22" i="6"/>
  <c r="X23" i="6"/>
  <c r="Y23" i="6"/>
  <c r="X24" i="6"/>
  <c r="Y24" i="6"/>
  <c r="X25" i="6"/>
  <c r="Y25" i="6"/>
  <c r="X26" i="6"/>
  <c r="Y26" i="6"/>
  <c r="X27" i="6"/>
  <c r="Y27" i="6"/>
  <c r="X28" i="6"/>
  <c r="Y28" i="6"/>
  <c r="X29" i="6"/>
  <c r="Y29" i="6"/>
  <c r="X30" i="6"/>
  <c r="Y30" i="6"/>
  <c r="X31" i="6"/>
  <c r="Y31" i="6"/>
  <c r="X32" i="6"/>
  <c r="Y32" i="6"/>
  <c r="X33" i="6"/>
  <c r="Y33" i="6"/>
  <c r="X34" i="6"/>
  <c r="Y34" i="6"/>
  <c r="X35" i="6"/>
  <c r="Y35" i="6"/>
  <c r="X36" i="6"/>
  <c r="Y36" i="6"/>
  <c r="X37" i="6"/>
  <c r="Y37" i="6"/>
  <c r="X38" i="6"/>
  <c r="Y38" i="6"/>
  <c r="X39" i="6"/>
  <c r="Y39" i="6"/>
  <c r="X40" i="6"/>
  <c r="Y40" i="6"/>
  <c r="X41" i="6"/>
  <c r="Y41" i="6"/>
  <c r="X42" i="6"/>
  <c r="Y42" i="6"/>
  <c r="X43" i="6"/>
  <c r="Y43" i="6"/>
  <c r="X44" i="6"/>
  <c r="Y44" i="6"/>
  <c r="X45" i="6"/>
  <c r="Y45" i="6"/>
  <c r="X46" i="6"/>
  <c r="Y46" i="6"/>
  <c r="X47" i="6"/>
  <c r="Y47" i="6"/>
  <c r="X48" i="6"/>
  <c r="Y48" i="6"/>
  <c r="X49" i="6"/>
  <c r="Y49" i="6"/>
  <c r="X50" i="6"/>
  <c r="Y50" i="6"/>
  <c r="X51" i="6"/>
  <c r="Y51" i="6"/>
  <c r="X52" i="6"/>
  <c r="Y52" i="6"/>
  <c r="X53" i="6"/>
  <c r="Y53" i="6"/>
  <c r="X54" i="6"/>
  <c r="Y54" i="6"/>
  <c r="X55" i="6"/>
  <c r="Y55" i="6"/>
  <c r="X56" i="6"/>
  <c r="Y56" i="6"/>
  <c r="X57" i="6"/>
  <c r="Y57" i="6"/>
  <c r="X58" i="6"/>
  <c r="Y58" i="6"/>
  <c r="X59" i="6"/>
  <c r="Y59" i="6"/>
  <c r="X60" i="6"/>
  <c r="Y60" i="6"/>
  <c r="X61" i="6"/>
  <c r="Y61" i="6"/>
  <c r="X62" i="6"/>
  <c r="Y62" i="6"/>
  <c r="X63" i="6"/>
  <c r="Y63" i="6"/>
  <c r="X64" i="6"/>
  <c r="Y64" i="6"/>
  <c r="X65" i="6"/>
  <c r="Y65" i="6"/>
  <c r="X66" i="6"/>
  <c r="Y66" i="6"/>
  <c r="X67" i="6"/>
  <c r="Y67" i="6"/>
  <c r="X68" i="6"/>
  <c r="Y68" i="6"/>
  <c r="X69" i="6"/>
  <c r="Y69" i="6"/>
  <c r="X70" i="6"/>
  <c r="Y70" i="6"/>
  <c r="X71" i="6"/>
  <c r="Y71" i="6"/>
  <c r="X72" i="6"/>
  <c r="Y72" i="6"/>
  <c r="X73" i="6"/>
  <c r="Y73" i="6"/>
  <c r="X74" i="6"/>
  <c r="Y74" i="6"/>
  <c r="X75" i="6"/>
  <c r="Y75" i="6"/>
  <c r="X76" i="6"/>
  <c r="Y76" i="6"/>
  <c r="X77" i="6"/>
  <c r="Y77" i="6"/>
  <c r="X78" i="6"/>
  <c r="Y78" i="6"/>
  <c r="X79" i="6"/>
  <c r="Y79" i="6"/>
  <c r="X80" i="6"/>
  <c r="Y80" i="6"/>
  <c r="X81" i="6"/>
  <c r="Y81" i="6"/>
  <c r="X82" i="6"/>
  <c r="Y82" i="6"/>
  <c r="X13" i="6"/>
  <c r="H11" i="8"/>
  <c r="D11" i="8"/>
  <c r="H10" i="8"/>
  <c r="D10" i="8"/>
  <c r="H9" i="8"/>
  <c r="D9" i="8"/>
  <c r="H8" i="8"/>
  <c r="D8" i="8"/>
  <c r="E22" i="9"/>
  <c r="I67" i="9"/>
  <c r="I66" i="9"/>
  <c r="I65" i="9"/>
  <c r="I64" i="9"/>
  <c r="I62" i="9"/>
  <c r="I61" i="9"/>
  <c r="I60" i="9"/>
  <c r="I59" i="9"/>
  <c r="I58" i="9"/>
  <c r="I57" i="9"/>
  <c r="I56" i="9"/>
  <c r="I54" i="9"/>
  <c r="I53" i="9"/>
  <c r="I52" i="9"/>
  <c r="I51" i="9"/>
  <c r="I50" i="9"/>
  <c r="I49" i="9"/>
  <c r="I48" i="9"/>
  <c r="I47" i="9"/>
  <c r="I46" i="9"/>
  <c r="I45" i="9"/>
  <c r="I44" i="9"/>
  <c r="I43" i="9"/>
  <c r="R40" i="9"/>
  <c r="I42" i="9"/>
  <c r="R39" i="9"/>
  <c r="I41" i="9"/>
  <c r="R38" i="9"/>
  <c r="I38" i="9"/>
  <c r="R37" i="9"/>
  <c r="I37" i="9"/>
  <c r="R36" i="9"/>
  <c r="I36" i="9"/>
  <c r="R35" i="9"/>
  <c r="I35" i="9"/>
  <c r="R34" i="9"/>
  <c r="I34" i="9"/>
  <c r="R33" i="9"/>
  <c r="I33" i="9"/>
  <c r="R32" i="9"/>
  <c r="I32" i="9"/>
  <c r="R31" i="9"/>
  <c r="I31" i="9"/>
  <c r="R30" i="9"/>
  <c r="R29" i="9"/>
  <c r="R28" i="9"/>
  <c r="R27" i="9"/>
  <c r="R26" i="9"/>
  <c r="F19" i="9"/>
  <c r="E19" i="9"/>
  <c r="F14" i="9"/>
  <c r="E14" i="9"/>
  <c r="W14" i="9"/>
  <c r="F13" i="9"/>
  <c r="E13" i="9"/>
  <c r="W13" i="9"/>
  <c r="F12" i="9"/>
  <c r="E12" i="9"/>
  <c r="W12" i="9"/>
  <c r="W11" i="9"/>
  <c r="W10" i="9"/>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I28" i="7"/>
  <c r="B28" i="7" s="1"/>
  <c r="L28" i="7" s="1"/>
  <c r="H28" i="7"/>
  <c r="E28" i="7"/>
  <c r="I27" i="7"/>
  <c r="B27" i="7" s="1"/>
  <c r="L27" i="7" s="1"/>
  <c r="H27" i="7"/>
  <c r="E27" i="7"/>
  <c r="I26" i="7"/>
  <c r="B26" i="7" s="1"/>
  <c r="L26" i="7" s="1"/>
  <c r="H26" i="7"/>
  <c r="E26" i="7"/>
  <c r="I25" i="7"/>
  <c r="B25" i="7" s="1"/>
  <c r="L25" i="7" s="1"/>
  <c r="H25" i="7"/>
  <c r="E25" i="7"/>
  <c r="I14" i="7"/>
  <c r="B14" i="7" s="1"/>
  <c r="L14" i="7" s="1"/>
  <c r="H14" i="7"/>
  <c r="E14" i="7"/>
  <c r="I13" i="7"/>
  <c r="B13" i="7" s="1"/>
  <c r="L13" i="7" s="1"/>
  <c r="H13" i="7"/>
  <c r="E13" i="7"/>
  <c r="I12" i="7"/>
  <c r="B12" i="7" s="1"/>
  <c r="L12" i="7" s="1"/>
  <c r="H12" i="7"/>
  <c r="E12" i="7"/>
  <c r="I11" i="7"/>
  <c r="B11" i="7" s="1"/>
  <c r="L11" i="7" s="1"/>
  <c r="H11" i="7"/>
  <c r="E11" i="7"/>
  <c r="B10" i="7"/>
  <c r="L10" i="7" s="1"/>
  <c r="H10" i="7"/>
  <c r="E10" i="7"/>
  <c r="B9" i="7"/>
  <c r="H9" i="7"/>
  <c r="E9" i="7"/>
  <c r="Y13" i="6"/>
  <c r="AF77" i="5"/>
  <c r="AE77" i="5"/>
  <c r="AD77" i="5"/>
  <c r="AC77" i="5"/>
  <c r="AF76" i="5"/>
  <c r="AE76" i="5"/>
  <c r="AD76" i="5"/>
  <c r="AC76" i="5"/>
  <c r="AF75" i="5"/>
  <c r="AE75" i="5"/>
  <c r="AD75" i="5"/>
  <c r="AC75" i="5"/>
  <c r="AF74" i="5"/>
  <c r="AE74" i="5"/>
  <c r="AD74" i="5"/>
  <c r="AC74" i="5"/>
  <c r="AG73" i="5"/>
  <c r="AF73" i="5"/>
  <c r="AE73" i="5"/>
  <c r="AD73" i="5"/>
  <c r="AC73" i="5"/>
  <c r="AF71" i="5"/>
  <c r="AE71" i="5"/>
  <c r="AD71" i="5"/>
  <c r="AC71" i="5"/>
  <c r="AF70" i="5"/>
  <c r="AE70" i="5"/>
  <c r="AD70" i="5"/>
  <c r="AC70" i="5"/>
  <c r="AF69" i="5"/>
  <c r="AE69" i="5"/>
  <c r="AD69" i="5"/>
  <c r="AC69" i="5"/>
  <c r="AF68" i="5"/>
  <c r="AE68" i="5"/>
  <c r="AD68" i="5"/>
  <c r="AC68" i="5"/>
  <c r="AG67" i="5"/>
  <c r="AF67" i="5"/>
  <c r="AE67" i="5"/>
  <c r="AD67" i="5"/>
  <c r="AC67" i="5"/>
  <c r="AG61" i="5"/>
  <c r="AG55" i="5"/>
  <c r="AF53" i="5"/>
  <c r="AE53" i="5"/>
  <c r="AD53" i="5"/>
  <c r="AC53" i="5"/>
  <c r="AF52" i="5"/>
  <c r="AE52" i="5"/>
  <c r="AD52" i="5"/>
  <c r="AC52" i="5"/>
  <c r="AF51" i="5"/>
  <c r="AE51" i="5"/>
  <c r="AD51" i="5"/>
  <c r="AC51" i="5"/>
  <c r="AF50" i="5"/>
  <c r="AE50" i="5"/>
  <c r="AD50" i="5"/>
  <c r="AC50" i="5"/>
  <c r="AG49" i="5"/>
  <c r="AF49" i="5"/>
  <c r="AE49" i="5"/>
  <c r="AD49" i="5"/>
  <c r="AC49" i="5"/>
  <c r="AF47" i="5"/>
  <c r="AE47" i="5"/>
  <c r="AD47" i="5"/>
  <c r="AC47" i="5"/>
  <c r="AF46" i="5"/>
  <c r="AE46" i="5"/>
  <c r="AD46" i="5"/>
  <c r="AC46" i="5"/>
  <c r="AF45" i="5"/>
  <c r="AE45" i="5"/>
  <c r="AD45" i="5"/>
  <c r="AC45" i="5"/>
  <c r="AF44" i="5"/>
  <c r="AE44" i="5"/>
  <c r="AD44" i="5"/>
  <c r="AC44" i="5"/>
  <c r="AG43" i="5"/>
  <c r="AF43" i="5"/>
  <c r="AE43" i="5"/>
  <c r="AD43" i="5"/>
  <c r="AC43" i="5"/>
  <c r="AF41" i="5"/>
  <c r="AE41" i="5"/>
  <c r="AD41" i="5"/>
  <c r="AC41" i="5"/>
  <c r="AF40" i="5"/>
  <c r="AE40" i="5"/>
  <c r="AD40" i="5"/>
  <c r="AC40" i="5"/>
  <c r="AF39" i="5"/>
  <c r="AE39" i="5"/>
  <c r="AD39" i="5"/>
  <c r="AC39" i="5"/>
  <c r="AF38" i="5"/>
  <c r="AE38" i="5"/>
  <c r="AD38" i="5"/>
  <c r="AC38" i="5"/>
  <c r="AG37" i="5"/>
  <c r="AF37" i="5"/>
  <c r="AE37" i="5"/>
  <c r="AD37" i="5"/>
  <c r="AC37" i="5"/>
  <c r="D8" i="4"/>
  <c r="E8" i="4" s="1"/>
  <c r="J52" i="6" l="1"/>
  <c r="J31" i="6"/>
  <c r="J78" i="6"/>
  <c r="J58" i="6"/>
  <c r="J37" i="6"/>
  <c r="J45" i="6"/>
  <c r="J80" i="6"/>
  <c r="J64" i="6"/>
  <c r="J39" i="6"/>
  <c r="J57" i="6"/>
  <c r="J41" i="6"/>
  <c r="J25" i="6"/>
  <c r="J81" i="6"/>
  <c r="J73" i="6"/>
  <c r="J65" i="6"/>
  <c r="J56" i="6"/>
  <c r="J43" i="6"/>
  <c r="J18" i="6"/>
  <c r="K18" i="6" s="1"/>
  <c r="L18" i="6" s="1"/>
  <c r="J20" i="6"/>
  <c r="K20" i="6" s="1"/>
  <c r="L20" i="6" s="1"/>
  <c r="J66" i="6"/>
  <c r="J50" i="6"/>
  <c r="J29" i="6"/>
  <c r="J55" i="6"/>
  <c r="J49" i="6"/>
  <c r="J19" i="6"/>
  <c r="K19" i="6" s="1"/>
  <c r="L19" i="6" s="1"/>
  <c r="J69" i="6"/>
  <c r="J51" i="6"/>
  <c r="J24" i="6"/>
  <c r="J70" i="6"/>
  <c r="J68" i="6"/>
  <c r="J16" i="6"/>
  <c r="K16" i="6" s="1"/>
  <c r="L16" i="6" s="1"/>
  <c r="J30" i="6"/>
  <c r="J75" i="6"/>
  <c r="J59" i="6"/>
  <c r="J32" i="6"/>
  <c r="J74" i="6"/>
  <c r="J82" i="6"/>
  <c r="J62" i="6"/>
  <c r="J53" i="6"/>
  <c r="J26" i="6"/>
  <c r="J34" i="6"/>
  <c r="J76" i="6"/>
  <c r="J60" i="6"/>
  <c r="J28" i="6"/>
  <c r="J54" i="6"/>
  <c r="J38" i="6"/>
  <c r="K38" i="6" s="1"/>
  <c r="L38" i="6" s="1"/>
  <c r="J22" i="6"/>
  <c r="J79" i="6"/>
  <c r="J71" i="6"/>
  <c r="J63" i="6"/>
  <c r="J40" i="6"/>
  <c r="J27" i="6"/>
  <c r="J14" i="6"/>
  <c r="J36" i="6"/>
  <c r="J21" i="6"/>
  <c r="J72" i="6"/>
  <c r="J23" i="6"/>
  <c r="J33" i="6"/>
  <c r="J77" i="6"/>
  <c r="J61" i="6"/>
  <c r="J35" i="6"/>
  <c r="J15" i="6"/>
  <c r="K15" i="6" s="1"/>
  <c r="L15" i="6" s="1"/>
  <c r="J47" i="6"/>
  <c r="K47" i="6" s="1"/>
  <c r="L47" i="6" s="1"/>
  <c r="J42" i="6"/>
  <c r="J17" i="6"/>
  <c r="K17" i="6" s="1"/>
  <c r="L17" i="6" s="1"/>
  <c r="J44" i="6"/>
  <c r="J46" i="6"/>
  <c r="J13" i="6"/>
  <c r="J67" i="6"/>
  <c r="J48" i="6"/>
  <c r="J12" i="6"/>
  <c r="K12" i="6" s="1"/>
  <c r="L12" i="6" s="1"/>
  <c r="M8" i="9"/>
  <c r="AG28" i="5"/>
  <c r="AF28" i="5"/>
  <c r="AG27" i="5"/>
  <c r="AF27" i="5"/>
  <c r="N8" i="9"/>
  <c r="AH27" i="6"/>
  <c r="AI14" i="6"/>
  <c r="AI16" i="6"/>
  <c r="AI18" i="6"/>
  <c r="AI20" i="6"/>
  <c r="AI22" i="6"/>
  <c r="AI24" i="6"/>
  <c r="AI26" i="6"/>
  <c r="AI28" i="6"/>
  <c r="AI30" i="6"/>
  <c r="AI32" i="6"/>
  <c r="AI34" i="6"/>
  <c r="AI36" i="6"/>
  <c r="AI38" i="6"/>
  <c r="AI40" i="6"/>
  <c r="AI42" i="6"/>
  <c r="AI44" i="6"/>
  <c r="AI46" i="6"/>
  <c r="AI48" i="6"/>
  <c r="AI50" i="6"/>
  <c r="AI52" i="6"/>
  <c r="AI54" i="6"/>
  <c r="AI56" i="6"/>
  <c r="AI58" i="6"/>
  <c r="AI60" i="6"/>
  <c r="AI62" i="6"/>
  <c r="AI64" i="6"/>
  <c r="AI66" i="6"/>
  <c r="AI68" i="6"/>
  <c r="AI70" i="6"/>
  <c r="AI72" i="6"/>
  <c r="AI74" i="6"/>
  <c r="AI76" i="6"/>
  <c r="AI78" i="6"/>
  <c r="AI80" i="6"/>
  <c r="AI82" i="6"/>
  <c r="AI15" i="6"/>
  <c r="AI17" i="6"/>
  <c r="AI19" i="6"/>
  <c r="AI21" i="6"/>
  <c r="AI23" i="6"/>
  <c r="AI25" i="6"/>
  <c r="AI27" i="6"/>
  <c r="AI29" i="6"/>
  <c r="AI31" i="6"/>
  <c r="AI33" i="6"/>
  <c r="AI35" i="6"/>
  <c r="AI37" i="6"/>
  <c r="AI39" i="6"/>
  <c r="AI41" i="6"/>
  <c r="AI43" i="6"/>
  <c r="AI45" i="6"/>
  <c r="AI47" i="6"/>
  <c r="AI49" i="6"/>
  <c r="AI51" i="6"/>
  <c r="AI53" i="6"/>
  <c r="AI55" i="6"/>
  <c r="AI57" i="6"/>
  <c r="AI59" i="6"/>
  <c r="AI61" i="6"/>
  <c r="AI63" i="6"/>
  <c r="AI65" i="6"/>
  <c r="AI67" i="6"/>
  <c r="AI69" i="6"/>
  <c r="AI71" i="6"/>
  <c r="AI73" i="6"/>
  <c r="AI75" i="6"/>
  <c r="AI77" i="6"/>
  <c r="AI79" i="6"/>
  <c r="AI81" i="6"/>
  <c r="AH13" i="6"/>
  <c r="AH14" i="6"/>
  <c r="AH16" i="6"/>
  <c r="AH18" i="6"/>
  <c r="AH20" i="6"/>
  <c r="AH22" i="6"/>
  <c r="AH24" i="6"/>
  <c r="AH26" i="6"/>
  <c r="AH28" i="6"/>
  <c r="AH30" i="6"/>
  <c r="AH32" i="6"/>
  <c r="AH34" i="6"/>
  <c r="AH36" i="6"/>
  <c r="AH38" i="6"/>
  <c r="AH40" i="6"/>
  <c r="AH42" i="6"/>
  <c r="AH44" i="6"/>
  <c r="AH46" i="6"/>
  <c r="AH48" i="6"/>
  <c r="AH50" i="6"/>
  <c r="AH52" i="6"/>
  <c r="AH54" i="6"/>
  <c r="AH56" i="6"/>
  <c r="AH58" i="6"/>
  <c r="AH60" i="6"/>
  <c r="AH62" i="6"/>
  <c r="AH64" i="6"/>
  <c r="AH66" i="6"/>
  <c r="AH68" i="6"/>
  <c r="AH70" i="6"/>
  <c r="AH72" i="6"/>
  <c r="AH74" i="6"/>
  <c r="AH76" i="6"/>
  <c r="AH78" i="6"/>
  <c r="AH80" i="6"/>
  <c r="AH82" i="6"/>
  <c r="AH79" i="6"/>
  <c r="AH71" i="6"/>
  <c r="AH63" i="6"/>
  <c r="AH55" i="6"/>
  <c r="AH47" i="6"/>
  <c r="AH39" i="6"/>
  <c r="AH31" i="6"/>
  <c r="AH23" i="6"/>
  <c r="AH15" i="6"/>
  <c r="AH75" i="6"/>
  <c r="AH67" i="6"/>
  <c r="AH59" i="6"/>
  <c r="AH51" i="6"/>
  <c r="AH43" i="6"/>
  <c r="AH35" i="6"/>
  <c r="AH77" i="6"/>
  <c r="AH69" i="6"/>
  <c r="AH61" i="6"/>
  <c r="AH53" i="6"/>
  <c r="AH45" i="6"/>
  <c r="AH37" i="6"/>
  <c r="AH29" i="6"/>
  <c r="AH21" i="6"/>
  <c r="AH19" i="6"/>
  <c r="AI13" i="6"/>
  <c r="AH81" i="6"/>
  <c r="AH73" i="6"/>
  <c r="AH65" i="6"/>
  <c r="AH57" i="6"/>
  <c r="AH49" i="6"/>
  <c r="AH41" i="6"/>
  <c r="AH33" i="6"/>
  <c r="AH25" i="6"/>
  <c r="AH17" i="6"/>
  <c r="AC54" i="5"/>
  <c r="AC78" i="5"/>
  <c r="AD28" i="5" s="1"/>
  <c r="AC60" i="5"/>
  <c r="V28" i="5" s="1"/>
  <c r="AC42" i="5"/>
  <c r="P28" i="5" s="1"/>
  <c r="AC66" i="5"/>
  <c r="Y28" i="5" s="1"/>
  <c r="AC48" i="5"/>
  <c r="R28" i="5" s="1"/>
  <c r="AC72" i="5"/>
  <c r="AB28" i="5" s="1"/>
  <c r="L9" i="7"/>
  <c r="N12" i="6"/>
  <c r="F16" i="6"/>
  <c r="H16" i="6" s="1"/>
  <c r="P16" i="6"/>
  <c r="R16" i="6" s="1"/>
  <c r="AG16" i="6" s="1"/>
  <c r="N17" i="6"/>
  <c r="F20" i="6"/>
  <c r="H20" i="6" s="1"/>
  <c r="P20" i="6"/>
  <c r="R20" i="6" s="1"/>
  <c r="AG20" i="6" s="1"/>
  <c r="N21" i="6"/>
  <c r="F24" i="6"/>
  <c r="P24" i="6"/>
  <c r="R24" i="6" s="1"/>
  <c r="N25" i="6"/>
  <c r="F28" i="6"/>
  <c r="P28" i="6"/>
  <c r="R28" i="6" s="1"/>
  <c r="N29" i="6"/>
  <c r="F32" i="6"/>
  <c r="P32" i="6"/>
  <c r="R32" i="6" s="1"/>
  <c r="N33" i="6"/>
  <c r="F36" i="6"/>
  <c r="H36" i="6" s="1"/>
  <c r="F37" i="6"/>
  <c r="H37" i="6" s="1"/>
  <c r="P37" i="6"/>
  <c r="R37" i="6" s="1"/>
  <c r="N38" i="6"/>
  <c r="N39" i="6"/>
  <c r="N40" i="6"/>
  <c r="N41" i="6"/>
  <c r="N42" i="6"/>
  <c r="N43" i="6"/>
  <c r="N44" i="6"/>
  <c r="N45" i="6"/>
  <c r="N46" i="6"/>
  <c r="N47" i="6"/>
  <c r="N48" i="6"/>
  <c r="N49" i="6"/>
  <c r="N50" i="6"/>
  <c r="N51" i="6"/>
  <c r="N52" i="6"/>
  <c r="F55" i="6"/>
  <c r="H55" i="6" s="1"/>
  <c r="F56" i="6"/>
  <c r="H56" i="6" s="1"/>
  <c r="F57" i="6"/>
  <c r="P57" i="6"/>
  <c r="R57" i="6" s="1"/>
  <c r="P58" i="6"/>
  <c r="R58" i="6" s="1"/>
  <c r="N59" i="6"/>
  <c r="P60" i="6"/>
  <c r="R60" i="6" s="1"/>
  <c r="N61" i="6"/>
  <c r="N62" i="6"/>
  <c r="F65" i="6"/>
  <c r="H65" i="6" s="1"/>
  <c r="F66" i="6"/>
  <c r="H66" i="6" s="1"/>
  <c r="N67" i="6"/>
  <c r="F69" i="6"/>
  <c r="P69" i="6"/>
  <c r="R69" i="6" s="1"/>
  <c r="P70" i="6"/>
  <c r="R70" i="6" s="1"/>
  <c r="P71" i="6"/>
  <c r="R71" i="6" s="1"/>
  <c r="F75" i="6"/>
  <c r="P75" i="6"/>
  <c r="R75" i="6" s="1"/>
  <c r="F77" i="6"/>
  <c r="P77" i="6"/>
  <c r="R77" i="6" s="1"/>
  <c r="P78" i="6"/>
  <c r="R78" i="6" s="1"/>
  <c r="N79" i="6"/>
  <c r="F81" i="6"/>
  <c r="H81" i="6" s="1"/>
  <c r="F82" i="6"/>
  <c r="H82" i="6" s="1"/>
  <c r="F12" i="6"/>
  <c r="H12" i="6" s="1"/>
  <c r="P14" i="6"/>
  <c r="R14" i="6" s="1"/>
  <c r="N15" i="6"/>
  <c r="F18" i="6"/>
  <c r="H18" i="6" s="1"/>
  <c r="P18" i="6"/>
  <c r="R18" i="6" s="1"/>
  <c r="AG18" i="6" s="1"/>
  <c r="N19" i="6"/>
  <c r="F22" i="6"/>
  <c r="P22" i="6"/>
  <c r="R22" i="6" s="1"/>
  <c r="N23" i="6"/>
  <c r="F26" i="6"/>
  <c r="P26" i="6"/>
  <c r="R26" i="6" s="1"/>
  <c r="N27" i="6"/>
  <c r="F30" i="6"/>
  <c r="P30" i="6"/>
  <c r="R30" i="6" s="1"/>
  <c r="N31" i="6"/>
  <c r="F34" i="6"/>
  <c r="P34" i="6"/>
  <c r="R34" i="6" s="1"/>
  <c r="N35" i="6"/>
  <c r="N36" i="6"/>
  <c r="F39" i="6"/>
  <c r="H39" i="6" s="1"/>
  <c r="F40" i="6"/>
  <c r="H40" i="6" s="1"/>
  <c r="F41" i="6"/>
  <c r="H41" i="6" s="1"/>
  <c r="F42" i="6"/>
  <c r="H42" i="6" s="1"/>
  <c r="F43" i="6"/>
  <c r="H43" i="6" s="1"/>
  <c r="F44" i="6"/>
  <c r="H44" i="6" s="1"/>
  <c r="F45" i="6"/>
  <c r="H45" i="6" s="1"/>
  <c r="F46" i="6"/>
  <c r="H46" i="6" s="1"/>
  <c r="F47" i="6"/>
  <c r="H47" i="6" s="1"/>
  <c r="F48" i="6"/>
  <c r="H48" i="6" s="1"/>
  <c r="F49" i="6"/>
  <c r="H49" i="6" s="1"/>
  <c r="F50" i="6"/>
  <c r="H50" i="6" s="1"/>
  <c r="F51" i="6"/>
  <c r="H51" i="6" s="1"/>
  <c r="F52" i="6"/>
  <c r="H52" i="6" s="1"/>
  <c r="F53" i="6"/>
  <c r="H53" i="6" s="1"/>
  <c r="P53" i="6"/>
  <c r="R53" i="6" s="1"/>
  <c r="N54" i="6"/>
  <c r="N55" i="6"/>
  <c r="N56" i="6"/>
  <c r="F62" i="6"/>
  <c r="H62" i="6" s="1"/>
  <c r="P63" i="6"/>
  <c r="R63" i="6" s="1"/>
  <c r="N64" i="6"/>
  <c r="N65" i="6"/>
  <c r="N66" i="6"/>
  <c r="F68" i="6"/>
  <c r="N14" i="6"/>
  <c r="P17" i="6"/>
  <c r="R17" i="6" s="1"/>
  <c r="AG17" i="6" s="1"/>
  <c r="F21" i="6"/>
  <c r="H21" i="6" s="1"/>
  <c r="N22" i="6"/>
  <c r="P25" i="6"/>
  <c r="R25" i="6" s="1"/>
  <c r="F29" i="6"/>
  <c r="H29" i="6" s="1"/>
  <c r="N30" i="6"/>
  <c r="P33" i="6"/>
  <c r="R33" i="6" s="1"/>
  <c r="P39" i="6"/>
  <c r="R39" i="6" s="1"/>
  <c r="P41" i="6"/>
  <c r="R41" i="6" s="1"/>
  <c r="P43" i="6"/>
  <c r="R43" i="6" s="1"/>
  <c r="P45" i="6"/>
  <c r="R45" i="6" s="1"/>
  <c r="P47" i="6"/>
  <c r="R47" i="6" s="1"/>
  <c r="P49" i="6"/>
  <c r="R49" i="6" s="1"/>
  <c r="P51" i="6"/>
  <c r="R51" i="6" s="1"/>
  <c r="F58" i="6"/>
  <c r="H58" i="6" s="1"/>
  <c r="F63" i="6"/>
  <c r="H63" i="6" s="1"/>
  <c r="N68" i="6"/>
  <c r="N69" i="6"/>
  <c r="F71" i="6"/>
  <c r="H71" i="6" s="1"/>
  <c r="F72" i="6"/>
  <c r="F73" i="6"/>
  <c r="H73" i="6" s="1"/>
  <c r="N74" i="6"/>
  <c r="N82" i="6"/>
  <c r="P12" i="6"/>
  <c r="R12" i="6" s="1"/>
  <c r="F15" i="6"/>
  <c r="H15" i="6" s="1"/>
  <c r="N16" i="6"/>
  <c r="P19" i="6"/>
  <c r="R19" i="6" s="1"/>
  <c r="AG19" i="6" s="1"/>
  <c r="F23" i="6"/>
  <c r="H23" i="6" s="1"/>
  <c r="N24" i="6"/>
  <c r="P27" i="6"/>
  <c r="R27" i="6" s="1"/>
  <c r="F31" i="6"/>
  <c r="H31" i="6" s="1"/>
  <c r="N32" i="6"/>
  <c r="P35" i="6"/>
  <c r="R35" i="6" s="1"/>
  <c r="N53" i="6"/>
  <c r="P54" i="6"/>
  <c r="R54" i="6" s="1"/>
  <c r="P56" i="6"/>
  <c r="R56" i="6" s="1"/>
  <c r="N58" i="6"/>
  <c r="P59" i="6"/>
  <c r="R59" i="6" s="1"/>
  <c r="N60" i="6"/>
  <c r="P61" i="6"/>
  <c r="R61" i="6" s="1"/>
  <c r="N63" i="6"/>
  <c r="P64" i="6"/>
  <c r="R64" i="6" s="1"/>
  <c r="P66" i="6"/>
  <c r="R66" i="6" s="1"/>
  <c r="P67" i="6"/>
  <c r="R67" i="6" s="1"/>
  <c r="P68" i="6"/>
  <c r="R68" i="6" s="1"/>
  <c r="F70" i="6"/>
  <c r="H70" i="6" s="1"/>
  <c r="N73" i="6"/>
  <c r="P74" i="6"/>
  <c r="R74" i="6" s="1"/>
  <c r="N75" i="6"/>
  <c r="N78" i="6"/>
  <c r="P79" i="6"/>
  <c r="R79" i="6" s="1"/>
  <c r="N81" i="6"/>
  <c r="P82" i="6"/>
  <c r="R82" i="6" s="1"/>
  <c r="F17" i="6"/>
  <c r="H17" i="6" s="1"/>
  <c r="N18" i="6"/>
  <c r="P21" i="6"/>
  <c r="R21" i="6" s="1"/>
  <c r="F25" i="6"/>
  <c r="H25" i="6" s="1"/>
  <c r="N26" i="6"/>
  <c r="P29" i="6"/>
  <c r="R29" i="6" s="1"/>
  <c r="F33" i="6"/>
  <c r="H33" i="6" s="1"/>
  <c r="N34" i="6"/>
  <c r="N37" i="6"/>
  <c r="P38" i="6"/>
  <c r="R38" i="6" s="1"/>
  <c r="P40" i="6"/>
  <c r="R40" i="6" s="1"/>
  <c r="P42" i="6"/>
  <c r="R42" i="6" s="1"/>
  <c r="P44" i="6"/>
  <c r="R44" i="6" s="1"/>
  <c r="P46" i="6"/>
  <c r="R46" i="6" s="1"/>
  <c r="P48" i="6"/>
  <c r="R48" i="6" s="1"/>
  <c r="P50" i="6"/>
  <c r="R50" i="6" s="1"/>
  <c r="P52" i="6"/>
  <c r="R52" i="6" s="1"/>
  <c r="F54" i="6"/>
  <c r="F59" i="6"/>
  <c r="F60" i="6"/>
  <c r="F61" i="6"/>
  <c r="F64" i="6"/>
  <c r="F67" i="6"/>
  <c r="N71" i="6"/>
  <c r="N72" i="6"/>
  <c r="P73" i="6"/>
  <c r="R73" i="6" s="1"/>
  <c r="N76" i="6"/>
  <c r="N77" i="6"/>
  <c r="N80" i="6"/>
  <c r="P81" i="6"/>
  <c r="R81" i="6" s="1"/>
  <c r="F14" i="6"/>
  <c r="H14" i="6" s="1"/>
  <c r="N28" i="6"/>
  <c r="P31" i="6"/>
  <c r="R31" i="6" s="1"/>
  <c r="F35" i="6"/>
  <c r="H35" i="6" s="1"/>
  <c r="F38" i="6"/>
  <c r="P55" i="6"/>
  <c r="R55" i="6" s="1"/>
  <c r="P65" i="6"/>
  <c r="R65" i="6" s="1"/>
  <c r="AD65" i="6" s="1"/>
  <c r="F76" i="6"/>
  <c r="F78" i="6"/>
  <c r="H78" i="6" s="1"/>
  <c r="P80" i="6"/>
  <c r="R80" i="6" s="1"/>
  <c r="N20" i="6"/>
  <c r="P23" i="6"/>
  <c r="R23" i="6" s="1"/>
  <c r="F27" i="6"/>
  <c r="H27" i="6" s="1"/>
  <c r="P72" i="6"/>
  <c r="R72" i="6" s="1"/>
  <c r="F79" i="6"/>
  <c r="H79" i="6" s="1"/>
  <c r="P15" i="6"/>
  <c r="R15" i="6" s="1"/>
  <c r="AG15" i="6" s="1"/>
  <c r="F19" i="6"/>
  <c r="H19" i="6" s="1"/>
  <c r="P36" i="6"/>
  <c r="R36" i="6" s="1"/>
  <c r="N57" i="6"/>
  <c r="P62" i="6"/>
  <c r="R62" i="6" s="1"/>
  <c r="N70" i="6"/>
  <c r="F74" i="6"/>
  <c r="H74" i="6" s="1"/>
  <c r="P76" i="6"/>
  <c r="R76" i="6" s="1"/>
  <c r="F80" i="6"/>
  <c r="N13" i="6"/>
  <c r="K61" i="6" l="1"/>
  <c r="L61" i="6" s="1"/>
  <c r="Z61" i="6" s="1"/>
  <c r="K27" i="6"/>
  <c r="L27" i="6" s="1"/>
  <c r="Z27" i="6" s="1"/>
  <c r="K28" i="6"/>
  <c r="L28" i="6" s="1"/>
  <c r="Z28" i="6" s="1"/>
  <c r="K74" i="6"/>
  <c r="L74" i="6" s="1"/>
  <c r="Z74" i="6" s="1"/>
  <c r="K24" i="6"/>
  <c r="L24" i="6" s="1"/>
  <c r="Z24" i="6" s="1"/>
  <c r="K49" i="6"/>
  <c r="L49" i="6" s="1"/>
  <c r="Z49" i="6" s="1"/>
  <c r="K66" i="6"/>
  <c r="L66" i="6" s="1"/>
  <c r="Z66" i="6" s="1"/>
  <c r="K25" i="6"/>
  <c r="L25" i="6" s="1"/>
  <c r="Z25" i="6" s="1"/>
  <c r="K58" i="6"/>
  <c r="L58" i="6" s="1"/>
  <c r="Z58" i="6" s="1"/>
  <c r="K46" i="6"/>
  <c r="L46" i="6" s="1"/>
  <c r="Z46" i="6" s="1"/>
  <c r="K77" i="6"/>
  <c r="L77" i="6" s="1"/>
  <c r="Z77" i="6" s="1"/>
  <c r="K40" i="6"/>
  <c r="L40" i="6" s="1"/>
  <c r="Z40" i="6" s="1"/>
  <c r="K60" i="6"/>
  <c r="L60" i="6" s="1"/>
  <c r="Z60" i="6" s="1"/>
  <c r="K53" i="6"/>
  <c r="L53" i="6" s="1"/>
  <c r="Z53" i="6" s="1"/>
  <c r="AB53" i="6" s="1"/>
  <c r="K32" i="6"/>
  <c r="L32" i="6" s="1"/>
  <c r="Z32" i="6" s="1"/>
  <c r="K41" i="6"/>
  <c r="L41" i="6" s="1"/>
  <c r="Z41" i="6" s="1"/>
  <c r="K80" i="6"/>
  <c r="L80" i="6" s="1"/>
  <c r="Z80" i="6" s="1"/>
  <c r="K48" i="6"/>
  <c r="L48" i="6" s="1"/>
  <c r="Z48" i="6" s="1"/>
  <c r="K36" i="6"/>
  <c r="L36" i="6" s="1"/>
  <c r="Z36" i="6" s="1"/>
  <c r="K63" i="6"/>
  <c r="L63" i="6" s="1"/>
  <c r="Z63" i="6" s="1"/>
  <c r="K76" i="6"/>
  <c r="L76" i="6" s="1"/>
  <c r="Z76" i="6" s="1"/>
  <c r="K62" i="6"/>
  <c r="L62" i="6" s="1"/>
  <c r="Z62" i="6" s="1"/>
  <c r="K59" i="6"/>
  <c r="L59" i="6" s="1"/>
  <c r="Z59" i="6" s="1"/>
  <c r="K68" i="6"/>
  <c r="L68" i="6" s="1"/>
  <c r="Z68" i="6" s="1"/>
  <c r="AA68" i="6" s="1"/>
  <c r="K69" i="6"/>
  <c r="L69" i="6" s="1"/>
  <c r="Z69" i="6" s="1"/>
  <c r="K29" i="6"/>
  <c r="L29" i="6" s="1"/>
  <c r="Z29" i="6" s="1"/>
  <c r="K73" i="6"/>
  <c r="L73" i="6" s="1"/>
  <c r="Z73" i="6" s="1"/>
  <c r="K45" i="6"/>
  <c r="L45" i="6" s="1"/>
  <c r="Z45" i="6" s="1"/>
  <c r="K31" i="6"/>
  <c r="L31" i="6" s="1"/>
  <c r="Z31" i="6" s="1"/>
  <c r="K42" i="6"/>
  <c r="L42" i="6" s="1"/>
  <c r="Z42" i="6" s="1"/>
  <c r="K72" i="6"/>
  <c r="L72" i="6" s="1"/>
  <c r="Z72" i="6" s="1"/>
  <c r="K79" i="6"/>
  <c r="L79" i="6" s="1"/>
  <c r="Z79" i="6" s="1"/>
  <c r="K26" i="6"/>
  <c r="L26" i="6" s="1"/>
  <c r="Z26" i="6" s="1"/>
  <c r="K30" i="6"/>
  <c r="L30" i="6" s="1"/>
  <c r="Z30" i="6" s="1"/>
  <c r="K56" i="6"/>
  <c r="L56" i="6" s="1"/>
  <c r="Z56" i="6" s="1"/>
  <c r="K21" i="6"/>
  <c r="L21" i="6" s="1"/>
  <c r="Z21" i="6" s="1"/>
  <c r="AA21" i="6" s="1"/>
  <c r="K22" i="6"/>
  <c r="L22" i="6" s="1"/>
  <c r="Z22" i="6" s="1"/>
  <c r="K51" i="6"/>
  <c r="L51" i="6" s="1"/>
  <c r="Z51" i="6" s="1"/>
  <c r="K55" i="6"/>
  <c r="L55" i="6" s="1"/>
  <c r="Z55" i="6" s="1"/>
  <c r="K78" i="6"/>
  <c r="L78" i="6" s="1"/>
  <c r="Z78" i="6" s="1"/>
  <c r="K44" i="6"/>
  <c r="L44" i="6" s="1"/>
  <c r="Z44" i="6" s="1"/>
  <c r="K67" i="6"/>
  <c r="L67" i="6" s="1"/>
  <c r="Z67" i="6" s="1"/>
  <c r="AB67" i="6" s="1"/>
  <c r="K23" i="6"/>
  <c r="L23" i="6" s="1"/>
  <c r="Z23" i="6" s="1"/>
  <c r="K71" i="6"/>
  <c r="L71" i="6" s="1"/>
  <c r="Z71" i="6" s="1"/>
  <c r="K54" i="6"/>
  <c r="L54" i="6" s="1"/>
  <c r="Z54" i="6" s="1"/>
  <c r="K34" i="6"/>
  <c r="L34" i="6" s="1"/>
  <c r="Z34" i="6" s="1"/>
  <c r="AA34" i="6" s="1"/>
  <c r="K75" i="6"/>
  <c r="L75" i="6" s="1"/>
  <c r="Z75" i="6" s="1"/>
  <c r="AA75" i="6" s="1"/>
  <c r="K70" i="6"/>
  <c r="L70" i="6" s="1"/>
  <c r="Z70" i="6" s="1"/>
  <c r="K50" i="6"/>
  <c r="L50" i="6" s="1"/>
  <c r="Z50" i="6" s="1"/>
  <c r="K43" i="6"/>
  <c r="L43" i="6" s="1"/>
  <c r="Z43" i="6" s="1"/>
  <c r="K39" i="6"/>
  <c r="L39" i="6" s="1"/>
  <c r="Z39" i="6" s="1"/>
  <c r="K37" i="6"/>
  <c r="L37" i="6" s="1"/>
  <c r="Z37" i="6" s="1"/>
  <c r="AA37" i="6" s="1"/>
  <c r="K52" i="6"/>
  <c r="L52" i="6" s="1"/>
  <c r="Z52" i="6" s="1"/>
  <c r="K65" i="6"/>
  <c r="L65" i="6" s="1"/>
  <c r="Z65" i="6" s="1"/>
  <c r="K33" i="6"/>
  <c r="L33" i="6" s="1"/>
  <c r="Z33" i="6" s="1"/>
  <c r="K57" i="6"/>
  <c r="L57" i="6" s="1"/>
  <c r="Z57" i="6" s="1"/>
  <c r="K64" i="6"/>
  <c r="L64" i="6" s="1"/>
  <c r="Z64" i="6" s="1"/>
  <c r="K35" i="6"/>
  <c r="L35" i="6" s="1"/>
  <c r="Z35" i="6" s="1"/>
  <c r="K14" i="6"/>
  <c r="L14" i="6" s="1"/>
  <c r="Z14" i="6" s="1"/>
  <c r="K82" i="6"/>
  <c r="L82" i="6" s="1"/>
  <c r="Z82" i="6" s="1"/>
  <c r="K81" i="6"/>
  <c r="L81" i="6" s="1"/>
  <c r="Z81" i="6" s="1"/>
  <c r="Z20" i="6"/>
  <c r="Z18" i="6"/>
  <c r="AA18" i="6" s="1"/>
  <c r="Z15" i="6"/>
  <c r="K13" i="6"/>
  <c r="L13" i="6" s="1"/>
  <c r="Z17" i="6"/>
  <c r="Z38" i="6"/>
  <c r="Z16" i="6"/>
  <c r="AA16" i="6" s="1"/>
  <c r="AD21" i="6"/>
  <c r="Z47" i="6"/>
  <c r="AB47" i="6" s="1"/>
  <c r="Z12" i="6"/>
  <c r="AA12" i="6" s="1"/>
  <c r="AD66" i="6"/>
  <c r="AC57" i="6"/>
  <c r="AC30" i="6"/>
  <c r="AC18" i="6"/>
  <c r="AD34" i="6"/>
  <c r="AD46" i="6"/>
  <c r="AC58" i="6"/>
  <c r="AC78" i="6"/>
  <c r="AC15" i="6"/>
  <c r="AC29" i="6"/>
  <c r="AD37" i="6"/>
  <c r="AD47" i="6"/>
  <c r="AD67" i="6"/>
  <c r="AC73" i="6"/>
  <c r="AD18" i="6"/>
  <c r="AD30" i="6"/>
  <c r="AC38" i="6"/>
  <c r="AC54" i="6"/>
  <c r="AD58" i="6"/>
  <c r="AC70" i="6"/>
  <c r="AD78" i="6"/>
  <c r="AC17" i="6"/>
  <c r="AC23" i="6"/>
  <c r="AD29" i="6"/>
  <c r="AC39" i="6"/>
  <c r="AD49" i="6"/>
  <c r="AC61" i="6"/>
  <c r="AC69" i="6"/>
  <c r="AD81" i="6"/>
  <c r="AD22" i="6"/>
  <c r="AC32" i="6"/>
  <c r="AD38" i="6"/>
  <c r="AD54" i="6"/>
  <c r="AC62" i="6"/>
  <c r="AC74" i="6"/>
  <c r="AD82" i="6"/>
  <c r="AD17" i="6"/>
  <c r="AC25" i="6"/>
  <c r="AD33" i="6"/>
  <c r="AC41" i="6"/>
  <c r="AC49" i="6"/>
  <c r="AD61" i="6"/>
  <c r="AD69" i="6"/>
  <c r="AC81" i="6"/>
  <c r="AC16" i="6"/>
  <c r="AC26" i="6"/>
  <c r="AC34" i="6"/>
  <c r="AC46" i="6"/>
  <c r="AD56" i="6"/>
  <c r="AD62" i="6"/>
  <c r="AD74" i="6"/>
  <c r="AC82" i="6"/>
  <c r="AC21" i="6"/>
  <c r="AD25" i="6"/>
  <c r="AC37" i="6"/>
  <c r="AD41" i="6"/>
  <c r="AD53" i="6"/>
  <c r="AD73" i="6"/>
  <c r="U14" i="6"/>
  <c r="AC14" i="6" s="1"/>
  <c r="T14" i="6"/>
  <c r="AD14" i="6" s="1"/>
  <c r="AD31" i="6"/>
  <c r="AC31" i="6"/>
  <c r="AD52" i="6"/>
  <c r="AC52" i="6"/>
  <c r="AC63" i="6"/>
  <c r="AD63" i="6"/>
  <c r="AD77" i="6"/>
  <c r="AC71" i="6"/>
  <c r="AD71" i="6"/>
  <c r="AD20" i="6"/>
  <c r="AC20" i="6"/>
  <c r="AD26" i="6"/>
  <c r="AC42" i="6"/>
  <c r="AC50" i="6"/>
  <c r="AD70" i="6"/>
  <c r="AD45" i="6"/>
  <c r="AD57" i="6"/>
  <c r="AD76" i="6"/>
  <c r="AC76" i="6"/>
  <c r="AC65" i="6"/>
  <c r="AD44" i="6"/>
  <c r="AC44" i="6"/>
  <c r="AD79" i="6"/>
  <c r="AC79" i="6"/>
  <c r="Z19" i="6"/>
  <c r="AD19" i="6"/>
  <c r="AC19" i="6"/>
  <c r="AD36" i="6"/>
  <c r="AC36" i="6"/>
  <c r="AC72" i="6"/>
  <c r="AD72" i="6"/>
  <c r="AD80" i="6"/>
  <c r="AC80" i="6"/>
  <c r="AC55" i="6"/>
  <c r="AD55" i="6"/>
  <c r="AC64" i="6"/>
  <c r="AD64" i="6"/>
  <c r="AC59" i="6"/>
  <c r="AD59" i="6"/>
  <c r="AD27" i="6"/>
  <c r="AC27" i="6"/>
  <c r="AC51" i="6"/>
  <c r="AD51" i="6"/>
  <c r="AD43" i="6"/>
  <c r="AC43" i="6"/>
  <c r="AD60" i="6"/>
  <c r="AC60" i="6"/>
  <c r="AD24" i="6"/>
  <c r="AC24" i="6"/>
  <c r="AC22" i="6"/>
  <c r="AD42" i="6"/>
  <c r="AD50" i="6"/>
  <c r="AC66" i="6"/>
  <c r="AC33" i="6"/>
  <c r="AC45" i="6"/>
  <c r="AC53" i="6"/>
  <c r="AC77" i="6"/>
  <c r="AC28" i="6"/>
  <c r="AD40" i="6"/>
  <c r="AD48" i="6"/>
  <c r="AC68" i="6"/>
  <c r="AC35" i="6"/>
  <c r="AD75" i="6"/>
  <c r="AC12" i="6"/>
  <c r="AD12" i="6"/>
  <c r="AD16" i="6"/>
  <c r="AD28" i="6"/>
  <c r="AD32" i="6"/>
  <c r="AC40" i="6"/>
  <c r="AC48" i="6"/>
  <c r="AC56" i="6"/>
  <c r="AD68" i="6"/>
  <c r="AD15" i="6"/>
  <c r="AD23" i="6"/>
  <c r="AD35" i="6"/>
  <c r="AD39" i="6"/>
  <c r="AC47" i="6"/>
  <c r="AC67" i="6"/>
  <c r="AC75" i="6"/>
  <c r="T13" i="6"/>
  <c r="U13" i="6"/>
  <c r="AG14" i="6"/>
  <c r="D30" i="8"/>
  <c r="F13" i="6"/>
  <c r="H13" i="6" s="1"/>
  <c r="P13" i="6"/>
  <c r="R13" i="6" s="1"/>
  <c r="AF53" i="6" l="1"/>
  <c r="AE21" i="6"/>
  <c r="AA38" i="6"/>
  <c r="AE38" i="6" s="1"/>
  <c r="AB38" i="6"/>
  <c r="AF38" i="6" s="1"/>
  <c r="AA78" i="6"/>
  <c r="AE78" i="6" s="1"/>
  <c r="AB78" i="6"/>
  <c r="AF78" i="6" s="1"/>
  <c r="AB41" i="6"/>
  <c r="AF41" i="6" s="1"/>
  <c r="AA41" i="6"/>
  <c r="AE41" i="6" s="1"/>
  <c r="AB16" i="6"/>
  <c r="AF16" i="6" s="1"/>
  <c r="AB34" i="6"/>
  <c r="AF34" i="6" s="1"/>
  <c r="AA61" i="6"/>
  <c r="AE61" i="6" s="1"/>
  <c r="AB61" i="6"/>
  <c r="AF61" i="6" s="1"/>
  <c r="AB35" i="6"/>
  <c r="AF35" i="6" s="1"/>
  <c r="AA35" i="6"/>
  <c r="AE35" i="6" s="1"/>
  <c r="AB50" i="6"/>
  <c r="AF50" i="6" s="1"/>
  <c r="AA50" i="6"/>
  <c r="AE50" i="6" s="1"/>
  <c r="AA15" i="6"/>
  <c r="AE15" i="6" s="1"/>
  <c r="AB15" i="6"/>
  <c r="AF15" i="6" s="1"/>
  <c r="AB58" i="6"/>
  <c r="AF58" i="6" s="1"/>
  <c r="AA58" i="6"/>
  <c r="AE58" i="6" s="1"/>
  <c r="AB66" i="6"/>
  <c r="AF66" i="6" s="1"/>
  <c r="AA66" i="6"/>
  <c r="AE66" i="6" s="1"/>
  <c r="AA57" i="6"/>
  <c r="AE57" i="6" s="1"/>
  <c r="AB57" i="6"/>
  <c r="AF57" i="6" s="1"/>
  <c r="AB74" i="6"/>
  <c r="AF74" i="6" s="1"/>
  <c r="AA74" i="6"/>
  <c r="AE74" i="6" s="1"/>
  <c r="AB26" i="6"/>
  <c r="AF26" i="6" s="1"/>
  <c r="AA26" i="6"/>
  <c r="AE26" i="6" s="1"/>
  <c r="AB73" i="6"/>
  <c r="AF73" i="6" s="1"/>
  <c r="AA73" i="6"/>
  <c r="AE73" i="6" s="1"/>
  <c r="AB22" i="6"/>
  <c r="AF22" i="6" s="1"/>
  <c r="AA22" i="6"/>
  <c r="AE22" i="6" s="1"/>
  <c r="AA30" i="6"/>
  <c r="AE30" i="6" s="1"/>
  <c r="AB30" i="6"/>
  <c r="AF30" i="6" s="1"/>
  <c r="AA40" i="6"/>
  <c r="AE40" i="6" s="1"/>
  <c r="AB40" i="6"/>
  <c r="AF40" i="6" s="1"/>
  <c r="AA25" i="6"/>
  <c r="AE25" i="6" s="1"/>
  <c r="AB25" i="6"/>
  <c r="AF25" i="6" s="1"/>
  <c r="AB69" i="6"/>
  <c r="AF69" i="6" s="1"/>
  <c r="AA69" i="6"/>
  <c r="AE69" i="6" s="1"/>
  <c r="AA81" i="6"/>
  <c r="AE81" i="6" s="1"/>
  <c r="AB81" i="6"/>
  <c r="AF81" i="6" s="1"/>
  <c r="AA45" i="6"/>
  <c r="AE45" i="6" s="1"/>
  <c r="AB45" i="6"/>
  <c r="AF45" i="6" s="1"/>
  <c r="AA56" i="6"/>
  <c r="AE56" i="6" s="1"/>
  <c r="AB56" i="6"/>
  <c r="AF56" i="6" s="1"/>
  <c r="AA46" i="6"/>
  <c r="AE46" i="6" s="1"/>
  <c r="AB46" i="6"/>
  <c r="AF46" i="6" s="1"/>
  <c r="AB23" i="6"/>
  <c r="AF23" i="6" s="1"/>
  <c r="AA23" i="6"/>
  <c r="AE23" i="6" s="1"/>
  <c r="AB17" i="6"/>
  <c r="AF17" i="6" s="1"/>
  <c r="AA17" i="6"/>
  <c r="AE17" i="6" s="1"/>
  <c r="AA54" i="6"/>
  <c r="AE54" i="6" s="1"/>
  <c r="AB54" i="6"/>
  <c r="AF54" i="6" s="1"/>
  <c r="AB48" i="6"/>
  <c r="AF48" i="6" s="1"/>
  <c r="AA48" i="6"/>
  <c r="AE48" i="6" s="1"/>
  <c r="AB37" i="6"/>
  <c r="AF37" i="6" s="1"/>
  <c r="AA32" i="6"/>
  <c r="AE32" i="6" s="1"/>
  <c r="AB32" i="6"/>
  <c r="AF32" i="6" s="1"/>
  <c r="AA49" i="6"/>
  <c r="AE49" i="6" s="1"/>
  <c r="AB49" i="6"/>
  <c r="AF49" i="6" s="1"/>
  <c r="AB33" i="6"/>
  <c r="AF33" i="6" s="1"/>
  <c r="AA33" i="6"/>
  <c r="AE33" i="6" s="1"/>
  <c r="AB42" i="6"/>
  <c r="AF42" i="6" s="1"/>
  <c r="AA42" i="6"/>
  <c r="AE42" i="6" s="1"/>
  <c r="AA70" i="6"/>
  <c r="AE70" i="6" s="1"/>
  <c r="AB70" i="6"/>
  <c r="AF70" i="6" s="1"/>
  <c r="AA82" i="6"/>
  <c r="AE82" i="6" s="1"/>
  <c r="AB82" i="6"/>
  <c r="AF82" i="6" s="1"/>
  <c r="AB39" i="6"/>
  <c r="AF39" i="6" s="1"/>
  <c r="AA39" i="6"/>
  <c r="AE39" i="6" s="1"/>
  <c r="AA28" i="6"/>
  <c r="AE28" i="6" s="1"/>
  <c r="AB28" i="6"/>
  <c r="AF28" i="6" s="1"/>
  <c r="AB29" i="6"/>
  <c r="AF29" i="6" s="1"/>
  <c r="AA29" i="6"/>
  <c r="AE29" i="6" s="1"/>
  <c r="AB62" i="6"/>
  <c r="AF62" i="6" s="1"/>
  <c r="AA62" i="6"/>
  <c r="AE62" i="6" s="1"/>
  <c r="AB18" i="6"/>
  <c r="AF18" i="6" s="1"/>
  <c r="AB68" i="6"/>
  <c r="AF68" i="6" s="1"/>
  <c r="AB21" i="6"/>
  <c r="AF21" i="6" s="1"/>
  <c r="AA53" i="6"/>
  <c r="AE53" i="6" s="1"/>
  <c r="AA47" i="6"/>
  <c r="AE47" i="6" s="1"/>
  <c r="AE12" i="6"/>
  <c r="AA67" i="6"/>
  <c r="AE67" i="6" s="1"/>
  <c r="AE37" i="6"/>
  <c r="AE34" i="6"/>
  <c r="AB12" i="6"/>
  <c r="AF12" i="6" s="1"/>
  <c r="AA14" i="6"/>
  <c r="AE14" i="6" s="1"/>
  <c r="AE18" i="6"/>
  <c r="AF47" i="6"/>
  <c r="AE16" i="6"/>
  <c r="AB75" i="6"/>
  <c r="AF75" i="6" s="1"/>
  <c r="AF67" i="6"/>
  <c r="AE68" i="6"/>
  <c r="AE75" i="6"/>
  <c r="AB27" i="6"/>
  <c r="AF27" i="6" s="1"/>
  <c r="AA27" i="6"/>
  <c r="AE27" i="6" s="1"/>
  <c r="AA80" i="6"/>
  <c r="AE80" i="6" s="1"/>
  <c r="AB80" i="6"/>
  <c r="AF80" i="6" s="1"/>
  <c r="AB77" i="6"/>
  <c r="AF77" i="6" s="1"/>
  <c r="AA77" i="6"/>
  <c r="AE77" i="6" s="1"/>
  <c r="AA60" i="6"/>
  <c r="AE60" i="6" s="1"/>
  <c r="AB60" i="6"/>
  <c r="AF60" i="6" s="1"/>
  <c r="AB51" i="6"/>
  <c r="AF51" i="6" s="1"/>
  <c r="AA51" i="6"/>
  <c r="AE51" i="6" s="1"/>
  <c r="AB55" i="6"/>
  <c r="AF55" i="6" s="1"/>
  <c r="AA55" i="6"/>
  <c r="AE55" i="6" s="1"/>
  <c r="AB19" i="6"/>
  <c r="AF19" i="6" s="1"/>
  <c r="AA19" i="6"/>
  <c r="AE19" i="6" s="1"/>
  <c r="AB20" i="6"/>
  <c r="AF20" i="6" s="1"/>
  <c r="AA20" i="6"/>
  <c r="AE20" i="6" s="1"/>
  <c r="AA63" i="6"/>
  <c r="AE63" i="6" s="1"/>
  <c r="AB63" i="6"/>
  <c r="AF63" i="6" s="1"/>
  <c r="AB31" i="6"/>
  <c r="AF31" i="6" s="1"/>
  <c r="AA31" i="6"/>
  <c r="AE31" i="6" s="1"/>
  <c r="AB24" i="6"/>
  <c r="AF24" i="6" s="1"/>
  <c r="AA24" i="6"/>
  <c r="AE24" i="6" s="1"/>
  <c r="AB43" i="6"/>
  <c r="AF43" i="6" s="1"/>
  <c r="AA43" i="6"/>
  <c r="AE43" i="6" s="1"/>
  <c r="AB64" i="6"/>
  <c r="AF64" i="6" s="1"/>
  <c r="AA64" i="6"/>
  <c r="AE64" i="6" s="1"/>
  <c r="AB36" i="6"/>
  <c r="AF36" i="6" s="1"/>
  <c r="AA36" i="6"/>
  <c r="AE36" i="6" s="1"/>
  <c r="AA79" i="6"/>
  <c r="AE79" i="6" s="1"/>
  <c r="AB79" i="6"/>
  <c r="AF79" i="6" s="1"/>
  <c r="AA76" i="6"/>
  <c r="AE76" i="6" s="1"/>
  <c r="AB76" i="6"/>
  <c r="AF76" i="6" s="1"/>
  <c r="AB71" i="6"/>
  <c r="AF71" i="6" s="1"/>
  <c r="AA71" i="6"/>
  <c r="AE71" i="6" s="1"/>
  <c r="AA52" i="6"/>
  <c r="AE52" i="6" s="1"/>
  <c r="AB52" i="6"/>
  <c r="AF52" i="6" s="1"/>
  <c r="AB44" i="6"/>
  <c r="AF44" i="6" s="1"/>
  <c r="AA44" i="6"/>
  <c r="AE44" i="6" s="1"/>
  <c r="AB59" i="6"/>
  <c r="AF59" i="6" s="1"/>
  <c r="AA59" i="6"/>
  <c r="AE59" i="6" s="1"/>
  <c r="AA72" i="6"/>
  <c r="AE72" i="6" s="1"/>
  <c r="AB72" i="6"/>
  <c r="AF72" i="6" s="1"/>
  <c r="AA65" i="6"/>
  <c r="AE65" i="6" s="1"/>
  <c r="AB65" i="6"/>
  <c r="AF65" i="6" s="1"/>
  <c r="AB14" i="6"/>
  <c r="AF14" i="6" s="1"/>
  <c r="Z13" i="6"/>
  <c r="AB13" i="6" s="1"/>
  <c r="AG13" i="6"/>
  <c r="H28" i="8" s="1"/>
  <c r="AC13" i="6"/>
  <c r="AD13" i="6"/>
  <c r="A36" i="6"/>
  <c r="A61" i="6"/>
  <c r="A79" i="6"/>
  <c r="A52" i="6"/>
  <c r="A68" i="6"/>
  <c r="A57" i="6"/>
  <c r="A28" i="6"/>
  <c r="A67" i="6"/>
  <c r="A82" i="6"/>
  <c r="A73" i="6"/>
  <c r="A31" i="6"/>
  <c r="A20" i="6"/>
  <c r="A24" i="6"/>
  <c r="A40" i="6"/>
  <c r="A54" i="6"/>
  <c r="A70" i="6"/>
  <c r="A81" i="6"/>
  <c r="A25" i="6"/>
  <c r="A37" i="6"/>
  <c r="A41" i="6"/>
  <c r="A64" i="6"/>
  <c r="A14" i="6"/>
  <c r="A39" i="6"/>
  <c r="A55" i="6"/>
  <c r="A27" i="6"/>
  <c r="A43" i="6"/>
  <c r="A66" i="6"/>
  <c r="A51" i="6"/>
  <c r="A65" i="6"/>
  <c r="A32" i="6"/>
  <c r="A60" i="6"/>
  <c r="A53" i="6"/>
  <c r="A63" i="6"/>
  <c r="A75" i="6"/>
  <c r="A69" i="6"/>
  <c r="A80" i="6"/>
  <c r="A47" i="6"/>
  <c r="A13" i="6"/>
  <c r="A18" i="6"/>
  <c r="A22" i="6"/>
  <c r="A30" i="6"/>
  <c r="A46" i="6"/>
  <c r="A62" i="6"/>
  <c r="A16" i="6"/>
  <c r="A29" i="6"/>
  <c r="A33" i="6"/>
  <c r="A45" i="6"/>
  <c r="A50" i="6"/>
  <c r="A42" i="6"/>
  <c r="A49" i="6"/>
  <c r="A34" i="6"/>
  <c r="A44" i="6"/>
  <c r="A17" i="6"/>
  <c r="A21" i="6"/>
  <c r="A78" i="6"/>
  <c r="A38" i="6"/>
  <c r="A48" i="6"/>
  <c r="A56" i="6"/>
  <c r="A72" i="6"/>
  <c r="A76" i="6"/>
  <c r="A35" i="6"/>
  <c r="A71" i="6"/>
  <c r="A26" i="6"/>
  <c r="A59" i="6"/>
  <c r="A19" i="6"/>
  <c r="A23" i="6"/>
  <c r="A58" i="6"/>
  <c r="A74" i="6"/>
  <c r="A15" i="6"/>
  <c r="A77" i="6"/>
  <c r="E9" i="6" l="1"/>
  <c r="AA13" i="6"/>
  <c r="AE13" i="6" s="1"/>
  <c r="AF13" i="6"/>
  <c r="AC7" i="6"/>
  <c r="E20" i="8" s="1"/>
  <c r="AD7" i="6"/>
  <c r="F20" i="8" s="1"/>
  <c r="Z7" i="6"/>
  <c r="D19" i="8" s="1"/>
  <c r="D21" i="8" s="1"/>
  <c r="AE7" i="6" l="1"/>
  <c r="AA7" i="6"/>
  <c r="E19" i="8" s="1"/>
  <c r="E21" i="8" s="1"/>
  <c r="AF7" i="6"/>
  <c r="AB7" i="6"/>
  <c r="F19" i="8" s="1"/>
  <c r="F21" i="8" s="1"/>
</calcChain>
</file>

<file path=xl/sharedStrings.xml><?xml version="1.0" encoding="utf-8"?>
<sst xmlns="http://schemas.openxmlformats.org/spreadsheetml/2006/main" count="9253" uniqueCount="3021">
  <si>
    <t>2016 TRM Appendix C: Lighting Audit &amp; Design Tool for Commercial and Industrial Projects</t>
  </si>
  <si>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</si>
  <si>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</si>
  <si>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</si>
  <si>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</si>
  <si>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</si>
  <si>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</si>
  <si>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</si>
  <si>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</si>
  <si>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</si>
  <si>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</si>
  <si>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</si>
  <si>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</si>
  <si>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</si>
  <si>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</si>
  <si>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</si>
  <si>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t>2. To facilitate the calculation of energy and demand reductions for large lighting installations.</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</si>
  <si>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</si>
  <si>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</si>
  <si>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</si>
  <si>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</si>
  <si>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</si>
  <si>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</si>
  <si>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</si>
  <si>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</si>
  <si>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</si>
  <si>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</si>
  <si>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</si>
  <si>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(5) Lighting Inventory</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</si>
  <si>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</si>
  <si>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</si>
  <si>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</si>
  <si>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</si>
  <si>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</si>
  <si>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</si>
  <si>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</si>
  <si>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1. This tool is required for projects over 20 kW of connected load savings to facilitate calculation of savings pursuant to the PA TRM. Use of this tool for projects under 20 kW should conform to EDC program rules. Consult the TRM for clarification on rules for calculating savings.</t>
  </si>
  <si>
    <r>
      <t xml:space="preserve">2.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</si>
  <si>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</si>
  <si>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</si>
  <si>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</si>
  <si>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</si>
  <si>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</si>
  <si>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</si>
  <si>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</si>
  <si>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</si>
  <si>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</si>
  <si>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</si>
  <si>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</si>
  <si>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</si>
  <si>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For cell D16, "Address", specify the address at which the project takes place.</t>
  </si>
  <si>
    <t>ASHRAE Facility Type</t>
  </si>
  <si>
    <t>For cell D23, "ASHRAE Facility Type", select the option from the drop-down menu that best describes the usage of the facility.</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</si>
  <si>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</si>
  <si>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</si>
  <si>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</si>
  <si>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</si>
  <si>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</si>
  <si>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</si>
  <si>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</si>
  <si>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</si>
  <si>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</si>
  <si>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</si>
  <si>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</si>
  <si>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</si>
  <si>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</si>
  <si>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Heating Fuel Type</t>
  </si>
  <si>
    <t>For cell I25, "Heating Fuel Type", specify whether the facility is serviced by gas or electric heat.</t>
  </si>
  <si>
    <t>G:D18</t>
  </si>
  <si>
    <t>Utility</t>
  </si>
  <si>
    <t>For cell D18, "Utility", specify the electric distribution company who services the facility.</t>
  </si>
  <si>
    <t>Installation Date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</si>
  <si>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</si>
  <si>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</si>
  <si>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</si>
  <si>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</si>
  <si>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HOU/CF Source</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</si>
  <si>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</si>
  <si>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</si>
  <si>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</si>
  <si>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</si>
  <si>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G:D20</t>
  </si>
  <si>
    <t>G:D21</t>
  </si>
  <si>
    <t>G:D23</t>
  </si>
  <si>
    <t>G:D24</t>
  </si>
  <si>
    <t>G:D25</t>
  </si>
  <si>
    <t>G:I25</t>
  </si>
  <si>
    <t>G:D26</t>
  </si>
  <si>
    <t>G:I26</t>
  </si>
  <si>
    <t>For cell I26, "HOU/CF Source", specify whether this project will be evaluated using TRM-specified hours of use and coincidence factors, or if custom operating schedules will be designated.</t>
  </si>
  <si>
    <t>F:K9</t>
  </si>
  <si>
    <t>For cell K9, input the cut sheet verified wattage for the custom LED fixture.</t>
  </si>
  <si>
    <t>F:F922</t>
  </si>
  <si>
    <t>For cell F922, input the description of the custom lighting fixture as corresponds to the submitted cut sheet.</t>
  </si>
  <si>
    <t>F:K922</t>
  </si>
  <si>
    <t>For cell K922, input the cut sheet verified wattage of the custom fixture.</t>
  </si>
  <si>
    <t>F:M922</t>
  </si>
  <si>
    <t>For cell M922, input the load shape under which the custom fixture type should be evaluated. Only screw-in LEDs and CFLs should be listed as "Screw-in". All other bulb types should be evaluated under the "General" lighting load shape.</t>
  </si>
  <si>
    <t>Total</t>
  </si>
  <si>
    <t>Calculation Method</t>
  </si>
  <si>
    <t>Space Type</t>
  </si>
  <si>
    <t>Schedule</t>
  </si>
  <si>
    <t>Cooling Type</t>
  </si>
  <si>
    <t>Allowable LPD</t>
  </si>
  <si>
    <t>Allowable Watts</t>
  </si>
  <si>
    <t>Schedule Designation</t>
  </si>
  <si>
    <t>On</t>
  </si>
  <si>
    <t>Each row in the "On" column represents the time at which the lights are turned on for the specified scheduled during the specified day of the week. The time should be entered in 24-hr. format.</t>
  </si>
  <si>
    <t>Off</t>
  </si>
  <si>
    <t>Each row in the "Off" column represents the time at which the lights are turned off for the specified scheduled during the specified day of the week. The time should be entered in 24-hr. format.</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</si>
  <si>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</si>
  <si>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</si>
  <si>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Coincidence Factor</t>
  </si>
  <si>
    <t>Each "Coincidence Factor" cell calculates the percentage of the designated peak hours that the lights will be operational according to the custom schedule input in the cells above. Intermediate calculations for this cell can be found starting in row 57.</t>
  </si>
  <si>
    <t>Screw-In HOU</t>
  </si>
  <si>
    <t>Screw-In CF</t>
  </si>
  <si>
    <t>General HOU</t>
  </si>
  <si>
    <t>General CF</t>
  </si>
  <si>
    <t>Holidays Observed Annually</t>
  </si>
  <si>
    <t>Yearly Operating Weeks</t>
  </si>
  <si>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</si>
  <si>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</si>
  <si>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</si>
  <si>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</si>
  <si>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t>L:D1</t>
  </si>
  <si>
    <t>c)</t>
  </si>
  <si>
    <r>
      <t xml:space="preserve">Column D, </t>
    </r>
    <r>
      <rPr>
        <sz val="12"/>
        <color rgb="FF0070CD"/>
        <rFont val="Calibri"/>
        <family val="2"/>
        <scheme val="minor"/>
      </rPr>
      <t>"Space Details"</t>
    </r>
    <r>
      <rPr>
        <sz val="12"/>
        <color theme="1"/>
        <rFont val="Calibri"/>
        <family val="2"/>
        <scheme val="minor"/>
      </rPr>
      <t>, is optional and can be used to differentiate different zones within previously defined space types in the event that multiple line items are present for a single space type.</t>
    </r>
  </si>
  <si>
    <t>L:E1</t>
  </si>
  <si>
    <t>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</si>
  <si>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</si>
  <si>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</si>
  <si>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</si>
  <si>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</si>
  <si>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</si>
  <si>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</si>
  <si>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AC.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</si>
  <si>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</si>
  <si>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</si>
  <si>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</si>
  <si>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</si>
  <si>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</si>
  <si>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</si>
  <si>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</si>
  <si>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</si>
  <si>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</si>
  <si>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</si>
  <si>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</si>
  <si>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12. IT_DIM - Dimmable ballasts for Institutional Tuning Strategy</t>
  </si>
  <si>
    <t>13. IT_DIM - On-off or dimmer switches for Institutional Tuning Strategy</t>
  </si>
  <si>
    <t>14. MT - Multiple Types (Occupancy and personal; tuning/daylighting and other combinations)</t>
  </si>
  <si>
    <t>L:M1</t>
  </si>
  <si>
    <t>g)</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</si>
  <si>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P.</t>
    </r>
  </si>
  <si>
    <t>L:O1</t>
  </si>
  <si>
    <t>h)</t>
  </si>
  <si>
    <r>
      <t xml:space="preserve">Column O,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</si>
  <si>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t>L:Q1</t>
  </si>
  <si>
    <t>i)</t>
  </si>
  <si>
    <r>
      <t xml:space="preserve">For Column Q, </t>
    </r>
    <r>
      <rPr>
        <sz val="12"/>
        <color rgb="FF0070CD"/>
        <rFont val="Calibri"/>
        <family val="2"/>
        <scheme val="minor"/>
      </rPr>
      <t>"Fixture Qty."</t>
    </r>
    <r>
      <rPr>
        <sz val="12"/>
        <color theme="1"/>
        <rFont val="Calibri"/>
        <family val="2"/>
        <scheme val="minor"/>
      </rPr>
      <t>, input the quantity of fixtures installed. This will auto-populate the line item wattage in Column R.</t>
    </r>
  </si>
  <si>
    <t>L:S1</t>
  </si>
  <si>
    <t>j)</t>
  </si>
  <si>
    <r>
      <t xml:space="preserve">For Column S,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base</t>
    </r>
    <r>
      <rPr>
        <sz val="12"/>
        <color theme="1"/>
        <rFont val="Calibri"/>
        <family val="2"/>
        <scheme val="minor"/>
      </rPr>
      <t xml:space="preserve"> value in Column AC.</t>
    </r>
  </si>
  <si>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</si>
  <si>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</si>
  <si>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</si>
  <si>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</si>
  <si>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</si>
  <si>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</si>
  <si>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</si>
  <si>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</si>
  <si>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</si>
  <si>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</si>
  <si>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</si>
  <si>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</si>
  <si>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</si>
  <si>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</si>
  <si>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</si>
  <si>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</si>
  <si>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</si>
  <si>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Column N, "HOU Type", displays the load shape corresponding to the fixture type selected. The load shape will be either "General Service Lighting" or "Screw-in".</t>
  </si>
  <si>
    <t>L:P1</t>
  </si>
  <si>
    <t>Column P, "Fixture Wattage", displays the TRM-deemed wattage matching the selected fixture code for the as-built fixture.</t>
  </si>
  <si>
    <t>L:R1</t>
  </si>
  <si>
    <t>Column R, "Line Item Wattage", displays the total wattage of the as-built scenario for the full quantity of fixture presented on the corresponding line.</t>
  </si>
  <si>
    <t>L:T1</t>
  </si>
  <si>
    <t>Column T, "HOU", displays the appropriate hours of use to be used for the line item based on the fixture code and schedule inputs.</t>
  </si>
  <si>
    <t>L:U1</t>
  </si>
  <si>
    <t>Column U, "CF", displays the appropriate coincidence factor to be used for the line item based on the fixture code and schedule inputs.</t>
  </si>
  <si>
    <t>L:V1</t>
  </si>
  <si>
    <t>Column V, "Ifenergy", diplays the appropriate energy interactive factor to be used for the line item based on the space type and cooling details.</t>
  </si>
  <si>
    <t>L:W1</t>
  </si>
  <si>
    <t>Column W, "Ifdemand", displays the appropriate demand interactive factor to be used for the line item based on the space type and cooling details.</t>
  </si>
  <si>
    <t>L:X1</t>
  </si>
  <si>
    <t>Column X, "SVGbase", displays the appropriate baseline savings factor associated with pre-retrofit controls to be used for the line item based on the control type selection. For new construction, this value is a factor of the percentage of area required by code to have sensors.</t>
  </si>
  <si>
    <t>L:Y1</t>
  </si>
  <si>
    <t>Column Y, "SVGee", displays the appropriate as-built savings factor associated with as-built controls to be used for the line item based on the control type selection.</t>
  </si>
  <si>
    <t>L:Z1</t>
  </si>
  <si>
    <r>
      <t>Column Z, "</t>
    </r>
    <r>
      <rPr>
        <sz val="12"/>
        <color theme="0" tint="-4.9989318521683403E-2"/>
        <rFont val="Calibri"/>
        <family val="2"/>
      </rPr>
      <t>Δ</t>
    </r>
    <r>
      <rPr>
        <sz val="12"/>
        <color theme="0" tint="-4.9989318521683403E-2"/>
        <rFont val="Calibri"/>
        <family val="2"/>
        <scheme val="minor"/>
      </rPr>
      <t xml:space="preserve"> Load", presents the difference in installed watts between the pre-installation and post-installation lighting scenarios separate from the change in control strategies due to the line item details.</t>
    </r>
  </si>
  <si>
    <t>L:AA</t>
  </si>
  <si>
    <t>Column AA, "Peak Demand", presents the fraction of connected load reduction (associated with the lighting only) expected to be coincident with the PJM peak demand period due to the line item details.</t>
  </si>
  <si>
    <t>L:AB</t>
  </si>
  <si>
    <t>Column AB, "Energy", presents the total annual energy saved by the lighting improvement separate from the change in control strategies due to the line item details.</t>
  </si>
  <si>
    <t>L:AC</t>
  </si>
  <si>
    <t>Column AC, "Peak Demand", presents the fraction of connected load reduction (associated with the controls only) expected to be coincident with the PJM peak demand period due to the line item details.</t>
  </si>
  <si>
    <t>L:AD</t>
  </si>
  <si>
    <t>Column AD, "Energy", presents the total annual energy saved by the change in control strategies due to the line item details.</t>
  </si>
  <si>
    <t>L:AE</t>
  </si>
  <si>
    <t>Column AE, "Peak Demand", presents the summation of the lighting and controls peak demand savings for the line item.</t>
  </si>
  <si>
    <t>L:AF</t>
  </si>
  <si>
    <t>Column AF, "Energy", presents the summation of the lighting and controls energy savings for the line item.</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</si>
  <si>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</si>
  <si>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</si>
  <si>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</si>
  <si>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</si>
  <si>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</si>
  <si>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</si>
  <si>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</si>
  <si>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</si>
  <si>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</si>
  <si>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</si>
  <si>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</si>
  <si>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</si>
  <si>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</si>
  <si>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</si>
  <si>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</si>
  <si>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</si>
  <si>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</si>
  <si>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</si>
  <si>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</si>
  <si>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</si>
  <si>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</si>
  <si>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</si>
  <si>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</si>
  <si>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</si>
  <si>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</si>
  <si>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</si>
  <si>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</si>
  <si>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</si>
  <si>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</si>
  <si>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</si>
  <si>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</si>
  <si>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</si>
  <si>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</si>
  <si>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</si>
  <si>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</si>
  <si>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</si>
  <si>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</si>
  <si>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</si>
  <si>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</si>
  <si>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</si>
  <si>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</si>
  <si>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</si>
  <si>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</si>
  <si>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</si>
  <si>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</si>
  <si>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</si>
  <si>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</si>
  <si>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</si>
  <si>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</si>
  <si>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</si>
  <si>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</si>
  <si>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</si>
  <si>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</si>
  <si>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</si>
  <si>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</si>
  <si>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</si>
  <si>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</si>
  <si>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</si>
  <si>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</si>
  <si>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</si>
  <si>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</si>
  <si>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</si>
  <si>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</si>
  <si>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</si>
  <si>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</si>
  <si>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</si>
  <si>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9)</t>
  </si>
  <si>
    <t>Transformed "Glossary" into a searchable database for easier navigation.</t>
  </si>
  <si>
    <t>10)</t>
  </si>
  <si>
    <t>GLOSSARY</t>
  </si>
  <si>
    <t>Not sure what to put into a certain cell? Let us help you! Search by tab name and cell number, or use the filtering function on the table below to find the cell in question.</t>
  </si>
  <si>
    <t xml:space="preserve"> Tab Name:</t>
  </si>
  <si>
    <t>Instructions:</t>
  </si>
  <si>
    <t>Lighting Inventory</t>
  </si>
  <si>
    <t xml:space="preserve"> Cell Reference (i.e. G13):</t>
  </si>
  <si>
    <t>J13</t>
  </si>
  <si>
    <t>Tab</t>
  </si>
  <si>
    <t>Cell</t>
  </si>
  <si>
    <t>Field Type</t>
  </si>
  <si>
    <t>Heading</t>
  </si>
  <si>
    <t>Description</t>
  </si>
  <si>
    <t>Availability</t>
  </si>
  <si>
    <t>General Information</t>
  </si>
  <si>
    <t>D13</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</si>
  <si>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</si>
  <si>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</si>
  <si>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</si>
  <si>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</si>
  <si>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</si>
  <si>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</si>
  <si>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</si>
  <si>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</si>
  <si>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</si>
  <si>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</si>
  <si>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</si>
  <si>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</si>
  <si>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</si>
  <si>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</si>
  <si>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</si>
  <si>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</si>
  <si>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</si>
  <si>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</si>
  <si>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</si>
  <si>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</si>
  <si>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</si>
  <si>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</si>
  <si>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</si>
  <si>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</si>
  <si>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The ASHRAE Facility Type that best describes the usage of the facility.</t>
  </si>
  <si>
    <t>D24</t>
  </si>
  <si>
    <t>The type of project, whether it is a retrofit or new construction.</t>
  </si>
  <si>
    <t>D25</t>
  </si>
  <si>
    <t>The total square footage of the facility at which the project occurs. This field is optional for retrofit applications.</t>
  </si>
  <si>
    <t>I25</t>
  </si>
  <si>
    <t>The heating fuel source.</t>
  </si>
  <si>
    <t>D26</t>
  </si>
  <si>
    <t>The completion (or expected completion) date of the project.</t>
  </si>
  <si>
    <t>I26</t>
  </si>
  <si>
    <t>The preferred source of HOU and CF assumptions.</t>
  </si>
  <si>
    <t>I36</t>
  </si>
  <si>
    <t>Calculated Value</t>
  </si>
  <si>
    <t>The ASHRAE evaluation method for New Construction projects that should be used for this project. This cell is only available for input if this is a new construction project.</t>
  </si>
  <si>
    <t>Only if "New Construction" is selected as the construction type in Cell D24.</t>
  </si>
  <si>
    <t>The ASHRAE Space Type that best describes the usage of the space. These space types will be the only spaces available on the lighting inventory sheet, so be sure to include all spaces included in the project.</t>
  </si>
  <si>
    <t>The schedule that corresponds to the selected space type. Note that in the event of custom schedules, the user will need to create the custom schedules in step 5 before they are available for selection in step 4.</t>
  </si>
  <si>
    <t>The type of cooling employed in the selected space type.</t>
  </si>
  <si>
    <t>The ASHRAE allowable total wattage for the facility based on the space details provided.</t>
  </si>
  <si>
    <t>The name for the custom schedule being designated in the cells below.</t>
  </si>
  <si>
    <t>Only if "Deemed" is selected as the HOU/CF Source in Cell I26.</t>
  </si>
  <si>
    <t>The time at which the lights are turned on for the specified scheduled during the specified day of the week. The time should be entered in 24-hr. format.</t>
  </si>
  <si>
    <t>The time at which the lights are turned off for the specified scheduled during the specified day of the week. The time should be entered in 24-hr. format.</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</si>
  <si>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</si>
  <si>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The percentage of the designated peak hours that the lights will be operational according to the custom schedule input in the cells above. Intermediate calculations for this cell can be found starting in row 57.</t>
  </si>
  <si>
    <t>The TRM-deemed hours of use associated with screw-in bulbs for the building type selected.</t>
  </si>
  <si>
    <t>The TRM-deemed coincidence factor associated with screw-in bulbs for the building type selected.</t>
  </si>
  <si>
    <t>The TRM-deemed hours of use associated with general service bulbs for the building type selected.</t>
  </si>
  <si>
    <t>The TRM-deemed coincidence factor associated with general service bulbs for the building type selected.</t>
  </si>
  <si>
    <t>The number of days the facility shuts down completely.</t>
  </si>
  <si>
    <t>The number of weeks the facility operates at the custom schedules provided.</t>
  </si>
  <si>
    <t>C13</t>
  </si>
  <si>
    <t>The space type previously defined on the "General Information" tab where the specified fixtures where be installed. Only space types previously defined on the "General Information" tab will be available for selection in Column C.</t>
  </si>
  <si>
    <t>Space Details</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</si>
  <si>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</si>
  <si>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</si>
  <si>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</si>
  <si>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</si>
  <si>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</si>
  <si>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</si>
  <si>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</si>
  <si>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</si>
  <si>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</si>
  <si>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</si>
  <si>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</si>
  <si>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</si>
  <si>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</si>
  <si>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</si>
  <si>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</si>
  <si>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</si>
  <si>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</si>
  <si>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</si>
  <si>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</si>
  <si>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</si>
  <si>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</si>
  <si>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</si>
  <si>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</si>
  <si>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</si>
  <si>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</si>
  <si>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</si>
  <si>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</si>
  <si>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</si>
  <si>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</si>
  <si>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</si>
  <si>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</si>
  <si>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</si>
  <si>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HOU Type</t>
  </si>
  <si>
    <t>The load shape corresponding to the fixture type selected.</t>
  </si>
  <si>
    <t>O13</t>
  </si>
  <si>
    <t>Fixture Tag or ID</t>
  </si>
  <si>
    <t>The fixture designation presented on either the invoices or supplemental plans.</t>
  </si>
  <si>
    <t>P13</t>
  </si>
  <si>
    <t>Fixture Wattage (Post)</t>
  </si>
  <si>
    <t>The TRM-deemed wattage matching the selected fixture code for the as-built fixture.</t>
  </si>
  <si>
    <t>Q13</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</si>
  <si>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</si>
  <si>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</si>
  <si>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</si>
  <si>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</si>
  <si>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</si>
  <si>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</si>
  <si>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</si>
  <si>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</si>
  <si>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</si>
  <si>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</si>
  <si>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</si>
  <si>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CF</t>
  </si>
  <si>
    <t>The appropriate coincidence factor to be used for the line item based on the fixture code and schedule inputs.</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</si>
  <si>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</si>
  <si>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</si>
  <si>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</si>
  <si>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</si>
  <si>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r>
      <t>IF</t>
    </r>
    <r>
      <rPr>
        <vertAlign val="subscript"/>
        <sz val="12"/>
        <color theme="1"/>
        <rFont val="Calibri"/>
        <family val="2"/>
        <scheme val="minor"/>
      </rPr>
      <t>demand</t>
    </r>
  </si>
  <si>
    <t>The appropriate demand interactive factor to be used for the line item based on the space type and cooling details.</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</si>
  <si>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</si>
  <si>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</si>
  <si>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</si>
  <si>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</si>
  <si>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</si>
  <si>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</si>
  <si>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</si>
  <si>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</si>
  <si>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</si>
  <si>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</si>
  <si>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r>
      <rPr>
        <sz val="12"/>
        <color theme="1"/>
        <rFont val="Calibri"/>
        <family val="2"/>
      </rPr>
      <t>Peak Demand</t>
    </r>
    <r>
      <rPr>
        <sz val="12"/>
        <color theme="1"/>
        <rFont val="Calibri"/>
        <family val="2"/>
        <scheme val="minor"/>
      </rPr>
      <t xml:space="preserve"> (Lighting)</t>
    </r>
  </si>
  <si>
    <t>The fraction of connected load reduction (associated with the lighting only) expected to be coincident with the PJM peak demand period due to the line item details.</t>
  </si>
  <si>
    <t>AB13</t>
  </si>
  <si>
    <t>Energy (Lighting)</t>
  </si>
  <si>
    <t>The total annual energy saved by the lighting improvement separate from the change in control strategies due to the line item details.</t>
  </si>
  <si>
    <t>AC13</t>
  </si>
  <si>
    <t>Peak Demand (Controls)</t>
  </si>
  <si>
    <t>The fraction of connected load reduction (associated with the controls only) expected to be coincident with the PJM peak demand period due to the line item details.</t>
  </si>
  <si>
    <t>AD13</t>
  </si>
  <si>
    <t>Energy (Controls)</t>
  </si>
  <si>
    <t>The total annual energy saved by the change in control strategies due to the line item details.</t>
  </si>
  <si>
    <t>AE13</t>
  </si>
  <si>
    <t>Peak Demand (Total)</t>
  </si>
  <si>
    <t>The summation of the lighting and controls peak demand savings for the line item.</t>
  </si>
  <si>
    <t>AF13</t>
  </si>
  <si>
    <t>Energy (Total)</t>
  </si>
  <si>
    <t>The summation of the lighting and controls energy savings for the line item.</t>
  </si>
  <si>
    <t>Z7</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</si>
  <si>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</si>
  <si>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</si>
  <si>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AA7</t>
  </si>
  <si>
    <r>
      <rPr>
        <sz val="12"/>
        <color theme="1"/>
        <rFont val="Calibri"/>
        <family val="2"/>
      </rPr>
      <t>Summary: Peak Demand</t>
    </r>
    <r>
      <rPr>
        <sz val="12"/>
        <color theme="1"/>
        <rFont val="Calibri"/>
        <family val="2"/>
        <scheme val="minor"/>
      </rPr>
      <t xml:space="preserve"> (Lighting)</t>
    </r>
  </si>
  <si>
    <t>The summation of the peak demand savings due to lighting only of all line items.</t>
  </si>
  <si>
    <t>AB7</t>
  </si>
  <si>
    <t>Summary: Energy (Lighting)</t>
  </si>
  <si>
    <t>The summation of the energy savings due to lighting only of all line items.</t>
  </si>
  <si>
    <t>AC7</t>
  </si>
  <si>
    <t>Summary: Peak Demand (Controls)</t>
  </si>
  <si>
    <t>The summation of the peak demand savings due to controls only of all line items.</t>
  </si>
  <si>
    <t>AD7</t>
  </si>
  <si>
    <t>Summary: Energy (Controls)</t>
  </si>
  <si>
    <t>The summation of the energy savings due to controls only of all line items.</t>
  </si>
  <si>
    <t>AE7</t>
  </si>
  <si>
    <t>Summary: Peak Demand (Total)</t>
  </si>
  <si>
    <t>The summation of the total peak demand savings associated with both lighting and controls upgrades for all line items.</t>
  </si>
  <si>
    <t>AF7</t>
  </si>
  <si>
    <t>Summary: Energy (Total)</t>
  </si>
  <si>
    <t>The summation of the total energy savings associated with both lighting and controls upgrades for all line items.</t>
  </si>
  <si>
    <t>Fixture Search</t>
  </si>
  <si>
    <t>K9</t>
  </si>
  <si>
    <t>Watts per Fixture</t>
  </si>
  <si>
    <t>The cut sheet verified wattage for the custom LED fixture.</t>
  </si>
  <si>
    <t>The description of the custom lighting fixture as corresponds to the submitted cut sheet.</t>
  </si>
  <si>
    <t>The cut sheet verified wattage of the custom fixture.</t>
  </si>
  <si>
    <t>The load shape under which the custom fixture type should be evaluated.</t>
  </si>
  <si>
    <t>GENERAL INFORMATION</t>
  </si>
  <si>
    <t>KEY:</t>
  </si>
  <si>
    <t>Example Cell</t>
  </si>
  <si>
    <t>Cell Creating Error
in Calculations</t>
  </si>
  <si>
    <t>Intermediate Calc.</t>
  </si>
  <si>
    <t>Project / Site Information</t>
  </si>
  <si>
    <t>Provide basic project information below.</t>
  </si>
  <si>
    <t xml:space="preserve">Applicant Name: </t>
  </si>
  <si>
    <t xml:space="preserve">Facility Name: </t>
  </si>
  <si>
    <t xml:space="preserve">Calculation Method: </t>
  </si>
  <si>
    <t xml:space="preserve">Allowable Watts: </t>
  </si>
  <si>
    <t xml:space="preserve">Installation Address: </t>
  </si>
  <si>
    <t xml:space="preserve">City: </t>
  </si>
  <si>
    <t xml:space="preserve">State: </t>
  </si>
  <si>
    <t xml:space="preserve">Zip: </t>
  </si>
  <si>
    <t>Ex.</t>
  </si>
  <si>
    <t>Office - Enclosed</t>
  </si>
  <si>
    <t>Example</t>
  </si>
  <si>
    <t>Comfort Cooled</t>
  </si>
  <si>
    <t xml:space="preserve">Utility: </t>
  </si>
  <si>
    <t xml:space="preserve">Account No.: </t>
  </si>
  <si>
    <t>TRM</t>
  </si>
  <si>
    <t xml:space="preserve">Contact Name &amp; Title: </t>
  </si>
  <si>
    <t xml:space="preserve">Phone: </t>
  </si>
  <si>
    <t xml:space="preserve">Email: </t>
  </si>
  <si>
    <t>Office</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</si>
  <si>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</si>
  <si>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</si>
  <si>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Heating Fuel Type: </t>
  </si>
  <si>
    <t xml:space="preserve">Installation Date: </t>
  </si>
  <si>
    <t xml:space="preserve">HOU/CF Source: </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</si>
  <si>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and 24 hours on the weekends for reference.</t>
  </si>
  <si>
    <t>&lt;Input Name&gt;</t>
  </si>
  <si>
    <t>Screw-In</t>
  </si>
  <si>
    <t>General</t>
  </si>
  <si>
    <t>Monday</t>
  </si>
  <si>
    <t>Tuesday</t>
  </si>
  <si>
    <t>Wednesday</t>
  </si>
  <si>
    <t>Thursday</t>
  </si>
  <si>
    <t>Friday</t>
  </si>
  <si>
    <t>Saturday</t>
  </si>
  <si>
    <t>Sunday</t>
  </si>
  <si>
    <t>Custom Coincidence Factor Calculations</t>
  </si>
  <si>
    <t>LIGHTING INVENTORY</t>
  </si>
  <si>
    <t>PROJECT SUMMARY</t>
  </si>
  <si>
    <t>Lighting</t>
  </si>
  <si>
    <t>Controls</t>
  </si>
  <si>
    <t>Using Non-Integrated Ballast LED Fixtures?
Click here to configure LED fixture codes.</t>
  </si>
  <si>
    <t>Using Custom Cut-Sheet Fixtures?
Click here to create custom fixture codes.</t>
  </si>
  <si>
    <r>
      <t>Δ</t>
    </r>
    <r>
      <rPr>
        <b/>
        <sz val="9.9"/>
        <color theme="1"/>
        <rFont val="Calibri"/>
        <family val="2"/>
      </rPr>
      <t xml:space="preserve"> </t>
    </r>
    <r>
      <rPr>
        <b/>
        <sz val="11"/>
        <color theme="1"/>
        <rFont val="Calibri"/>
        <family val="2"/>
        <scheme val="minor"/>
      </rPr>
      <t>Load
(kW)</t>
    </r>
  </si>
  <si>
    <t>Peak Demand
(kW)</t>
  </si>
  <si>
    <t>Energy
(kWh)</t>
  </si>
  <si>
    <t>SAVINGS</t>
  </si>
  <si>
    <t>PRE-RETROFIT DETAILS</t>
  </si>
  <si>
    <t>BASELINE DETAILS</t>
  </si>
  <si>
    <t>POST-INSTALLATION DETAILS</t>
  </si>
  <si>
    <t>ASSUMPTIONS</t>
  </si>
  <si>
    <t>LIGHTING</t>
  </si>
  <si>
    <t>CONTROLS</t>
  </si>
  <si>
    <t>TOTAL</t>
  </si>
  <si>
    <t>Line Item</t>
  </si>
  <si>
    <t>Fixture Code</t>
  </si>
  <si>
    <t>Fixture Wattage</t>
  </si>
  <si>
    <t>Line Item Wattage</t>
  </si>
  <si>
    <t>Control Type</t>
  </si>
  <si>
    <t>Fixture Tag or ID (Opt.)</t>
  </si>
  <si>
    <r>
      <t>IF</t>
    </r>
    <r>
      <rPr>
        <b/>
        <vertAlign val="subscript"/>
        <sz val="11"/>
        <color theme="0"/>
        <rFont val="Calibri"/>
        <family val="2"/>
        <scheme val="minor"/>
      </rPr>
      <t>energy</t>
    </r>
  </si>
  <si>
    <r>
      <t>IF</t>
    </r>
    <r>
      <rPr>
        <b/>
        <vertAlign val="subscript"/>
        <sz val="11"/>
        <color theme="0"/>
        <rFont val="Calibri"/>
        <family val="2"/>
        <scheme val="minor"/>
      </rPr>
      <t>demand</t>
    </r>
  </si>
  <si>
    <r>
      <t>SVG</t>
    </r>
    <r>
      <rPr>
        <b/>
        <vertAlign val="subscript"/>
        <sz val="11"/>
        <color theme="0"/>
        <rFont val="Calibri"/>
        <family val="2"/>
        <scheme val="minor"/>
      </rPr>
      <t>base</t>
    </r>
  </si>
  <si>
    <r>
      <t>SVG</t>
    </r>
    <r>
      <rPr>
        <b/>
        <vertAlign val="subscript"/>
        <sz val="11"/>
        <color theme="0"/>
        <rFont val="Calibri"/>
        <family val="2"/>
        <scheme val="minor"/>
      </rPr>
      <t>ee</t>
    </r>
  </si>
  <si>
    <t>F44SE</t>
  </si>
  <si>
    <t>S_LS</t>
  </si>
  <si>
    <t>F44LL</t>
  </si>
  <si>
    <t>A/A1</t>
  </si>
  <si>
    <t>O_OS</t>
  </si>
  <si>
    <t>F42LL</t>
  </si>
  <si>
    <t>F44ILL</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</si>
  <si>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</si>
  <si>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922.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</si>
  <si>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</si>
  <si>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</si>
  <si>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</si>
  <si>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</si>
  <si>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</si>
  <si>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</si>
  <si>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</si>
  <si>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</si>
  <si>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Baseline
Fixture</t>
  </si>
  <si>
    <t>HOU
Type</t>
  </si>
  <si>
    <t>LED</t>
  </si>
  <si>
    <t>LED Fixture</t>
  </si>
  <si>
    <t>Edit</t>
  </si>
  <si>
    <t>Electronic</t>
  </si>
  <si>
    <t>N/A</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</si>
  <si>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</si>
  <si>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</si>
  <si>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</si>
  <si>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</si>
  <si>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</si>
  <si>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</si>
  <si>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</si>
  <si>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</si>
  <si>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</si>
  <si>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</si>
  <si>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</si>
  <si>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</si>
  <si>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</si>
  <si>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</si>
  <si>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</si>
  <si>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</si>
  <si>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</si>
  <si>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</si>
  <si>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</si>
  <si>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</si>
  <si>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</si>
  <si>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</si>
  <si>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</si>
  <si>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</si>
  <si>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</si>
  <si>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</si>
  <si>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</si>
  <si>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</si>
  <si>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</si>
  <si>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</si>
  <si>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</si>
  <si>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</si>
  <si>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</si>
  <si>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</si>
  <si>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</si>
  <si>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</si>
  <si>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</si>
  <si>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</si>
  <si>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</si>
  <si>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</si>
  <si>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</si>
  <si>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</si>
  <si>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</si>
  <si>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</si>
  <si>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</si>
  <si>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</si>
  <si>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</si>
  <si>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</si>
  <si>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</si>
  <si>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</si>
  <si>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</si>
  <si>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</si>
  <si>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</si>
  <si>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</si>
  <si>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</si>
  <si>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</si>
  <si>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</si>
  <si>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</si>
  <si>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</si>
  <si>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</si>
  <si>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</si>
  <si>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</si>
  <si>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</si>
  <si>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</si>
  <si>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</si>
  <si>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</si>
  <si>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</si>
  <si>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</si>
  <si>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</si>
  <si>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</si>
  <si>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</si>
  <si>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</si>
  <si>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</si>
  <si>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</si>
  <si>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</si>
  <si>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</si>
  <si>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</si>
  <si>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</si>
  <si>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</si>
  <si>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</si>
  <si>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</si>
  <si>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</si>
  <si>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</si>
  <si>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</si>
  <si>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</si>
  <si>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</si>
  <si>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</si>
  <si>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</si>
  <si>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</si>
  <si>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</si>
  <si>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</si>
  <si>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</si>
  <si>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</si>
  <si>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</si>
  <si>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</si>
  <si>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</si>
  <si>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</si>
  <si>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</si>
  <si>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</si>
  <si>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</si>
  <si>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</si>
  <si>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</si>
  <si>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</si>
  <si>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</si>
  <si>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</si>
  <si>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</si>
  <si>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</si>
  <si>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</si>
  <si>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</si>
  <si>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</si>
  <si>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</si>
  <si>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</si>
  <si>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</si>
  <si>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</si>
  <si>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</si>
  <si>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</si>
  <si>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</si>
  <si>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</si>
  <si>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</si>
  <si>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</si>
  <si>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</si>
  <si>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</si>
  <si>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</si>
  <si>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</si>
  <si>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</si>
  <si>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</si>
  <si>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</si>
  <si>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</si>
  <si>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</si>
  <si>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</si>
  <si>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</si>
  <si>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</si>
  <si>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</si>
  <si>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</si>
  <si>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</si>
  <si>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</si>
  <si>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</si>
  <si>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</si>
  <si>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</si>
  <si>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</si>
  <si>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</si>
  <si>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</si>
  <si>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</si>
  <si>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</si>
  <si>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</si>
  <si>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</si>
  <si>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</si>
  <si>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</si>
  <si>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</si>
  <si>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</si>
  <si>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</si>
  <si>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</si>
  <si>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</si>
  <si>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</si>
  <si>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</si>
  <si>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</si>
  <si>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</si>
  <si>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</si>
  <si>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</si>
  <si>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</si>
  <si>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</si>
  <si>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</si>
  <si>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</si>
  <si>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</si>
  <si>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</si>
  <si>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</si>
  <si>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</si>
  <si>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</si>
  <si>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</si>
  <si>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</si>
  <si>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</si>
  <si>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</si>
  <si>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</si>
  <si>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</si>
  <si>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</si>
  <si>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</si>
  <si>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</si>
  <si>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</si>
  <si>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</si>
  <si>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</si>
  <si>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</si>
  <si>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</si>
  <si>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</si>
  <si>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</si>
  <si>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</si>
  <si>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</si>
  <si>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</si>
  <si>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</si>
  <si>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</si>
  <si>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</si>
  <si>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</si>
  <si>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</si>
  <si>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</si>
  <si>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</si>
  <si>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</si>
  <si>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</si>
  <si>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</si>
  <si>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CFT5/1</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</si>
  <si>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</si>
  <si>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</si>
  <si>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</si>
  <si>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</si>
  <si>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</si>
  <si>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</si>
  <si>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</si>
  <si>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</si>
  <si>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</si>
  <si>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</si>
  <si>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</si>
  <si>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</si>
  <si>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</si>
  <si>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</si>
  <si>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</si>
  <si>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</si>
  <si>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</si>
  <si>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</si>
  <si>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</si>
  <si>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</si>
  <si>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</si>
  <si>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</si>
  <si>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</si>
  <si>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</si>
  <si>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</si>
  <si>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</si>
  <si>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</si>
  <si>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</si>
  <si>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</si>
  <si>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</si>
  <si>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</si>
  <si>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</si>
  <si>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</si>
  <si>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</si>
  <si>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</si>
  <si>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</si>
  <si>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</si>
  <si>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</si>
  <si>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</si>
  <si>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</si>
  <si>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</si>
  <si>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</si>
  <si>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</si>
  <si>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</si>
  <si>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</si>
  <si>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</si>
  <si>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</si>
  <si>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</si>
  <si>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</si>
  <si>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</si>
  <si>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</si>
  <si>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</si>
  <si>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</si>
  <si>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</si>
  <si>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</si>
  <si>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</si>
  <si>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</si>
  <si>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</si>
  <si>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</si>
  <si>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</si>
  <si>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</si>
  <si>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</si>
  <si>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</si>
  <si>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</si>
  <si>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</si>
  <si>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</si>
  <si>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</si>
  <si>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</si>
  <si>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</si>
  <si>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</si>
  <si>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</si>
  <si>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</si>
  <si>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</si>
  <si>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</si>
  <si>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</si>
  <si>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</si>
  <si>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</si>
  <si>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</si>
  <si>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</si>
  <si>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</si>
  <si>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</si>
  <si>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</si>
  <si>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</si>
  <si>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</si>
  <si>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</si>
  <si>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</si>
  <si>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</si>
  <si>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</si>
  <si>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</si>
  <si>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</si>
  <si>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</si>
  <si>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</si>
  <si>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</si>
  <si>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</si>
  <si>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</si>
  <si>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</si>
  <si>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</si>
  <si>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</si>
  <si>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</si>
  <si>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</si>
  <si>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</si>
  <si>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</si>
  <si>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</si>
  <si>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</si>
  <si>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</si>
  <si>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</si>
  <si>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</si>
  <si>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</si>
  <si>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</si>
  <si>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</si>
  <si>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</si>
  <si>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</si>
  <si>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</si>
  <si>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</si>
  <si>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</si>
  <si>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</si>
  <si>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</si>
  <si>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</si>
  <si>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</si>
  <si>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</si>
  <si>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</si>
  <si>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</si>
  <si>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</si>
  <si>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</si>
  <si>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</si>
  <si>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</si>
  <si>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</si>
  <si>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</si>
  <si>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</si>
  <si>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</si>
  <si>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</si>
  <si>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r>
      <t>CFT36/6-L</t>
    </r>
    <r>
      <rPr>
        <sz val="11"/>
        <color indexed="10"/>
        <rFont val="Calibri"/>
        <family val="2"/>
        <scheme val="minor"/>
      </rPr>
      <t>H</t>
    </r>
  </si>
  <si>
    <t>Compact Fluorescent, long Twin, (6) 36W lamp/ High Ballast Factor</t>
  </si>
  <si>
    <t>CFT36/6-LH</t>
  </si>
  <si>
    <t>CFT40/6-BX</t>
  </si>
  <si>
    <t>Compact Fluorescent, Biax, (6) 40W lamp</t>
  </si>
  <si>
    <t>CFT40/6-L</t>
  </si>
  <si>
    <t>Compact Fluorescent, long Twin, (6) 40W lamp</t>
  </si>
  <si>
    <r>
      <t>CFT40/6-L</t>
    </r>
    <r>
      <rPr>
        <sz val="11"/>
        <color indexed="10"/>
        <rFont val="Calibri"/>
        <family val="2"/>
        <scheme val="minor"/>
      </rPr>
      <t>H</t>
    </r>
  </si>
  <si>
    <t>Compact Fluorescent, long Twin, (6) 40W lamp/ High Ballast Factor</t>
  </si>
  <si>
    <t>CFT40/6-LH</t>
  </si>
  <si>
    <t>CFT50/6-BX</t>
  </si>
  <si>
    <t>Compact Fluorescent, Biax, (6) 50W lamp</t>
  </si>
  <si>
    <t>CFT55/6-BX</t>
  </si>
  <si>
    <t>Compact Fluorescent, Biax, (6) 55W lamp</t>
  </si>
  <si>
    <t>CFT55/6-L</t>
  </si>
  <si>
    <t>Compact Fluorescent, long Twin, (6) 55W lamp</t>
  </si>
  <si>
    <r>
      <t>CFT55/6-L</t>
    </r>
    <r>
      <rPr>
        <sz val="11"/>
        <color indexed="10"/>
        <rFont val="Calibri"/>
        <family val="2"/>
        <scheme val="minor"/>
      </rPr>
      <t>H</t>
    </r>
  </si>
  <si>
    <t>Compact Fluorescent, long Twin, (6) 55W lamp/ High Ballast Factor</t>
  </si>
  <si>
    <t>CFT55/6-LH</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</si>
  <si>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</si>
  <si>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</si>
  <si>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</si>
  <si>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</si>
  <si>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</si>
  <si>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</si>
  <si>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</si>
  <si>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</si>
  <si>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</si>
  <si>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</si>
  <si>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r>
      <t>CFT36/8-L</t>
    </r>
    <r>
      <rPr>
        <sz val="11"/>
        <color indexed="10"/>
        <rFont val="Calibri"/>
        <family val="2"/>
        <scheme val="minor"/>
      </rPr>
      <t>H</t>
    </r>
  </si>
  <si>
    <t>Compact Fluorescent, long Twin, (8) 36W lamp/ High Ballast Factor</t>
  </si>
  <si>
    <t>CFT36/8-LH</t>
  </si>
  <si>
    <t>CFT40/8-BX</t>
  </si>
  <si>
    <t>Compact Fluorescent, Biax, (8) 40W lamp</t>
  </si>
  <si>
    <t>CFT40/8-L</t>
  </si>
  <si>
    <t>Compact Fluorescent, long Twin, (8) 40W lamp</t>
  </si>
  <si>
    <r>
      <t>CFT40/8-L</t>
    </r>
    <r>
      <rPr>
        <sz val="11"/>
        <color indexed="10"/>
        <rFont val="Calibri"/>
        <family val="2"/>
        <scheme val="minor"/>
      </rPr>
      <t>H</t>
    </r>
  </si>
  <si>
    <t>Compact Fluorescent, long Twin, (8) 40W lamp/ High Ballast Factor</t>
  </si>
  <si>
    <t>CFT40/8-LH</t>
  </si>
  <si>
    <t>CFT50/8-BX</t>
  </si>
  <si>
    <t>Compact Fluorescent, Biax, (8) 50W lamp</t>
  </si>
  <si>
    <t>CFT55/8-BX</t>
  </si>
  <si>
    <t>Compact Fluorescent, Biax, (8) 55W lamp</t>
  </si>
  <si>
    <t>CFT55/8-L</t>
  </si>
  <si>
    <t>Compact Fluorescent, long Twin, (8) 55W lamp</t>
  </si>
  <si>
    <r>
      <t>CFT55/8-L</t>
    </r>
    <r>
      <rPr>
        <sz val="11"/>
        <color indexed="10"/>
        <rFont val="Calibri"/>
        <family val="2"/>
        <scheme val="minor"/>
      </rPr>
      <t>H</t>
    </r>
  </si>
  <si>
    <t>Compact Fluorescent, long Twin, (8) 55W lamp/ High Ballast Factor</t>
  </si>
  <si>
    <t>CFT55/8-LH</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</si>
  <si>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</si>
  <si>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</si>
  <si>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</si>
  <si>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</si>
  <si>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</si>
  <si>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</si>
  <si>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</si>
  <si>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</si>
  <si>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</si>
  <si>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</si>
  <si>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</si>
  <si>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</si>
  <si>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</si>
  <si>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</si>
  <si>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</si>
  <si>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</si>
  <si>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</si>
  <si>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</si>
  <si>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</si>
  <si>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</si>
  <si>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</si>
  <si>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</si>
  <si>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</si>
  <si>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</si>
  <si>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</si>
  <si>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</si>
  <si>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</si>
  <si>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</si>
  <si>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</si>
  <si>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</si>
  <si>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</si>
  <si>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</si>
  <si>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</si>
  <si>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</si>
  <si>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</si>
  <si>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</si>
  <si>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</si>
  <si>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</si>
  <si>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</si>
  <si>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</si>
  <si>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</si>
  <si>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</si>
  <si>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</si>
  <si>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</si>
  <si>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</si>
  <si>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</si>
  <si>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</si>
  <si>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</si>
  <si>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</si>
  <si>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</si>
  <si>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</si>
  <si>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</si>
  <si>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</si>
  <si>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</si>
  <si>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</si>
  <si>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</si>
  <si>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</si>
  <si>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</si>
  <si>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</si>
  <si>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</si>
  <si>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</si>
  <si>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</si>
  <si>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</si>
  <si>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</si>
  <si>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</si>
  <si>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</si>
  <si>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</si>
  <si>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</si>
  <si>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</si>
  <si>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</si>
  <si>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</si>
  <si>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</si>
  <si>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</si>
  <si>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</si>
  <si>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</si>
  <si>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</si>
  <si>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</si>
  <si>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</si>
  <si>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</si>
  <si>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</si>
  <si>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</si>
  <si>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</si>
  <si>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</si>
  <si>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</si>
  <si>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</si>
  <si>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</si>
  <si>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</si>
  <si>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</si>
  <si>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</si>
  <si>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</si>
  <si>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</si>
  <si>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</si>
  <si>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</si>
  <si>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</si>
  <si>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</si>
  <si>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</si>
  <si>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</si>
  <si>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</si>
  <si>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</si>
  <si>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</si>
  <si>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</si>
  <si>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</si>
  <si>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</si>
  <si>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</si>
  <si>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</si>
  <si>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</si>
  <si>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</si>
  <si>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</si>
  <si>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</si>
  <si>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</si>
  <si>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</si>
  <si>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</si>
  <si>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</si>
  <si>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</si>
  <si>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</si>
  <si>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</si>
  <si>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</si>
  <si>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</si>
  <si>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</si>
  <si>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</si>
  <si>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</si>
  <si>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</si>
  <si>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</si>
  <si>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</si>
  <si>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</si>
  <si>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</si>
  <si>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</si>
  <si>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</si>
  <si>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</si>
  <si>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</si>
  <si>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</si>
  <si>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</si>
  <si>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</si>
  <si>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</si>
  <si>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</si>
  <si>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</si>
  <si>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</si>
  <si>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</si>
  <si>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</si>
  <si>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</si>
  <si>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</si>
  <si>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</si>
  <si>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</si>
  <si>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</si>
  <si>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</si>
  <si>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</si>
  <si>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</si>
  <si>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</si>
  <si>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</si>
  <si>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</si>
  <si>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</si>
  <si>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</si>
  <si>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</si>
  <si>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</si>
  <si>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</si>
  <si>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</si>
  <si>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</si>
  <si>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</si>
  <si>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</si>
  <si>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</si>
  <si>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</si>
  <si>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</si>
  <si>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</si>
  <si>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</si>
  <si>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</si>
  <si>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</si>
  <si>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</si>
  <si>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</si>
  <si>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</si>
  <si>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</si>
  <si>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</si>
  <si>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</si>
  <si>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</si>
  <si>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</si>
  <si>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</si>
  <si>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</si>
  <si>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</si>
  <si>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</si>
  <si>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</si>
  <si>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</si>
  <si>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</si>
  <si>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</si>
  <si>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</si>
  <si>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</si>
  <si>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</si>
  <si>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</si>
  <si>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</si>
  <si>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</si>
  <si>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</si>
  <si>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</si>
  <si>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</si>
  <si>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</si>
  <si>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</si>
  <si>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</si>
  <si>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</si>
  <si>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</si>
  <si>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</si>
  <si>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</si>
  <si>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</si>
  <si>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</si>
  <si>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</si>
  <si>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</si>
  <si>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</si>
  <si>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</si>
  <si>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</si>
  <si>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</si>
  <si>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</si>
  <si>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</si>
  <si>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</si>
  <si>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</si>
  <si>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</si>
  <si>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</si>
  <si>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</si>
  <si>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</si>
  <si>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</si>
  <si>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</si>
  <si>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</si>
  <si>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</si>
  <si>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</si>
  <si>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</si>
  <si>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</si>
  <si>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</si>
  <si>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</si>
  <si>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</si>
  <si>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</si>
  <si>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</si>
  <si>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</si>
  <si>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</si>
  <si>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</si>
  <si>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</si>
  <si>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</si>
  <si>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</si>
  <si>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</si>
  <si>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</si>
  <si>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</si>
  <si>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</si>
  <si>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</si>
  <si>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</si>
  <si>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</si>
  <si>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</si>
  <si>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</si>
  <si>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</si>
  <si>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</si>
  <si>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</si>
  <si>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</si>
  <si>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</si>
  <si>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</si>
  <si>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</si>
  <si>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</si>
  <si>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</si>
  <si>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</si>
  <si>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</si>
  <si>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</si>
  <si>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</si>
  <si>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</si>
  <si>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</si>
  <si>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</si>
  <si>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</si>
  <si>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</si>
  <si>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</si>
  <si>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</si>
  <si>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</si>
  <si>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</si>
  <si>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</si>
  <si>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</si>
  <si>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</si>
  <si>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</si>
  <si>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</si>
  <si>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</si>
  <si>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</si>
  <si>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</si>
  <si>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</si>
  <si>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</si>
  <si>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</si>
  <si>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</si>
  <si>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</si>
  <si>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</si>
  <si>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</si>
  <si>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</si>
  <si>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</si>
  <si>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</si>
  <si>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</si>
  <si>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</si>
  <si>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</si>
  <si>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</si>
  <si>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</si>
  <si>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</si>
  <si>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</si>
  <si>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</si>
  <si>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</si>
  <si>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</si>
  <si>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</si>
  <si>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</si>
  <si>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</si>
  <si>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</si>
  <si>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</si>
  <si>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</si>
  <si>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</si>
  <si>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</si>
  <si>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</si>
  <si>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</si>
  <si>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</si>
  <si>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</si>
  <si>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</si>
  <si>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</si>
  <si>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</si>
  <si>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</si>
  <si>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</si>
  <si>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</si>
  <si>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</si>
  <si>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</si>
  <si>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</si>
  <si>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</si>
  <si>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</si>
  <si>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</si>
  <si>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</si>
  <si>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</si>
  <si>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</si>
  <si>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</si>
  <si>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</si>
  <si>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r>
      <t>F4</t>
    </r>
    <r>
      <rPr>
        <sz val="11"/>
        <color indexed="10"/>
        <rFont val="Calibri"/>
        <family val="2"/>
        <scheme val="minor"/>
      </rPr>
      <t>2</t>
    </r>
    <r>
      <rPr>
        <sz val="11"/>
        <rFont val="Calibri"/>
        <family val="2"/>
        <scheme val="minor"/>
      </rPr>
      <t>SILL/T4</t>
    </r>
  </si>
  <si>
    <t>Fluorescent, (2) 48", Super T-8 lamp, Instant Start Ballast, NLO (BF: .85-.95), Tandem 4 Lamp Ballast</t>
  </si>
  <si>
    <t>F42SILL/T4</t>
  </si>
  <si>
    <t>F42SILL-R</t>
  </si>
  <si>
    <t>Fluorescent, (2) 48", Super T-8 lamp, Instant Start Ballast, RLO (BF&lt;0.85)</t>
  </si>
  <si>
    <r>
      <t>F4</t>
    </r>
    <r>
      <rPr>
        <sz val="11"/>
        <color indexed="10"/>
        <rFont val="Calibri"/>
        <family val="2"/>
        <scheme val="minor"/>
      </rPr>
      <t>2</t>
    </r>
    <r>
      <rPr>
        <sz val="11"/>
        <rFont val="Calibri"/>
        <family val="2"/>
        <scheme val="minor"/>
      </rPr>
      <t>SILL/T4-R</t>
    </r>
  </si>
  <si>
    <t>Fluorescent, (2) 48", Super T-8 lamp, IS Ballast, RLO (BF&lt;0.85), Tandem 4 Lamp Ballast</t>
  </si>
  <si>
    <t>F42SILL/T4-R</t>
  </si>
  <si>
    <t>F42SILL-H</t>
  </si>
  <si>
    <t>Fluorescent, (2) 48", Super T-8 lamp, Instant Start Ballast, HLO (BF:.96-2.2)</t>
  </si>
  <si>
    <t>F42SSILL</t>
  </si>
  <si>
    <r>
      <t>F4</t>
    </r>
    <r>
      <rPr>
        <sz val="11"/>
        <color indexed="10"/>
        <rFont val="Calibri"/>
        <family val="2"/>
        <scheme val="minor"/>
      </rPr>
      <t>2</t>
    </r>
    <r>
      <rPr>
        <sz val="11"/>
        <rFont val="Calibri"/>
        <family val="2"/>
        <scheme val="minor"/>
      </rPr>
      <t>SSILL/T4</t>
    </r>
  </si>
  <si>
    <t>F42SSILL/T4</t>
  </si>
  <si>
    <t>F42SSILL-R</t>
  </si>
  <si>
    <r>
      <t>F4</t>
    </r>
    <r>
      <rPr>
        <sz val="11"/>
        <color indexed="10"/>
        <rFont val="Calibri"/>
        <family val="2"/>
        <scheme val="minor"/>
      </rPr>
      <t>2</t>
    </r>
    <r>
      <rPr>
        <sz val="11"/>
        <rFont val="Calibri"/>
        <family val="2"/>
        <scheme val="minor"/>
      </rPr>
      <t>SSILL/T4-R</t>
    </r>
  </si>
  <si>
    <t>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</si>
  <si>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</si>
  <si>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</si>
  <si>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</si>
  <si>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</si>
  <si>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</si>
  <si>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</si>
  <si>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</si>
  <si>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</si>
  <si>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</si>
  <si>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</si>
  <si>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</si>
  <si>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</si>
  <si>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</si>
  <si>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</si>
  <si>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</si>
  <si>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</si>
  <si>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</si>
  <si>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</si>
  <si>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</si>
  <si>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</si>
  <si>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</si>
  <si>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</si>
  <si>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</si>
  <si>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</si>
  <si>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</si>
  <si>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</si>
  <si>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</si>
  <si>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</si>
  <si>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</si>
  <si>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</si>
  <si>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</si>
  <si>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</si>
  <si>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</si>
  <si>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</si>
  <si>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</si>
  <si>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</si>
  <si>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</si>
  <si>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</si>
  <si>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</si>
  <si>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</si>
  <si>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</si>
  <si>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</si>
  <si>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</si>
  <si>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</si>
  <si>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</si>
  <si>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</si>
  <si>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</si>
  <si>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</si>
  <si>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</si>
  <si>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</si>
  <si>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</si>
  <si>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</si>
  <si>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</si>
  <si>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</si>
  <si>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</si>
  <si>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</si>
  <si>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</si>
  <si>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</si>
  <si>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</si>
  <si>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</si>
  <si>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</si>
  <si>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</si>
  <si>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</si>
  <si>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</si>
  <si>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</si>
  <si>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</si>
  <si>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</si>
  <si>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</si>
  <si>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</si>
  <si>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</si>
  <si>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</si>
  <si>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</si>
  <si>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</si>
  <si>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</si>
  <si>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</si>
  <si>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</si>
  <si>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</si>
  <si>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</si>
  <si>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</si>
  <si>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</si>
  <si>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</si>
  <si>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</si>
  <si>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</si>
  <si>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</si>
  <si>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</si>
  <si>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</si>
  <si>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</si>
  <si>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</si>
  <si>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</si>
  <si>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</si>
  <si>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</si>
  <si>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</si>
  <si>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</si>
  <si>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</si>
  <si>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</si>
  <si>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</si>
  <si>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</si>
  <si>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</si>
  <si>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</si>
  <si>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</si>
  <si>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</si>
  <si>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</si>
  <si>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</si>
  <si>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</si>
  <si>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</si>
  <si>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</si>
  <si>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</si>
  <si>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</si>
  <si>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</si>
  <si>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</si>
  <si>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</si>
  <si>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</si>
  <si>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</si>
  <si>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</si>
  <si>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</si>
  <si>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</si>
  <si>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</si>
  <si>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</si>
  <si>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</si>
  <si>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</si>
  <si>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</si>
  <si>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</si>
  <si>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</si>
  <si>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</si>
  <si>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</si>
  <si>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</si>
  <si>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</si>
  <si>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</si>
  <si>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</si>
  <si>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</si>
  <si>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</si>
  <si>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</si>
  <si>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</si>
  <si>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</si>
  <si>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</si>
  <si>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</si>
  <si>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</si>
  <si>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</si>
  <si>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</si>
  <si>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</si>
  <si>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</si>
  <si>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</si>
  <si>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</si>
  <si>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</si>
  <si>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</si>
  <si>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</si>
  <si>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</si>
  <si>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</si>
  <si>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</si>
  <si>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</si>
  <si>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</si>
  <si>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</si>
  <si>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</si>
  <si>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</si>
  <si>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</si>
  <si>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</si>
  <si>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</si>
  <si>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</si>
  <si>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</si>
  <si>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</si>
  <si>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</si>
  <si>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</si>
  <si>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</si>
  <si>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</si>
  <si>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</si>
  <si>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</si>
  <si>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</si>
  <si>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</si>
  <si>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</si>
  <si>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</si>
  <si>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</si>
  <si>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</si>
  <si>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</si>
  <si>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</si>
  <si>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</si>
  <si>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</si>
  <si>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</si>
  <si>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</si>
  <si>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</si>
  <si>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</si>
  <si>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</si>
  <si>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</si>
  <si>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</si>
  <si>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</si>
  <si>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</si>
  <si>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</si>
  <si>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</si>
  <si>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</si>
  <si>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</si>
  <si>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</si>
  <si>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</si>
  <si>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</si>
  <si>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</si>
  <si>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</si>
  <si>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</si>
  <si>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</si>
  <si>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</si>
  <si>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</si>
  <si>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</si>
  <si>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</si>
  <si>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</si>
  <si>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</si>
  <si>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</si>
  <si>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</si>
  <si>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</si>
  <si>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</si>
  <si>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</si>
  <si>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</si>
  <si>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</si>
  <si>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</si>
  <si>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r>
      <t>Fluorescent, (</t>
    </r>
    <r>
      <rPr>
        <sz val="11"/>
        <color indexed="10"/>
        <rFont val="Calibri"/>
        <family val="2"/>
        <scheme val="minor"/>
      </rPr>
      <t>2</t>
    </r>
    <r>
      <rPr>
        <sz val="11"/>
        <rFont val="Calibri"/>
        <family val="2"/>
        <scheme val="minor"/>
      </rPr>
      <t>) 36", STD HO T5 lamp</t>
    </r>
  </si>
  <si>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</si>
  <si>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</si>
  <si>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</si>
  <si>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</si>
  <si>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</si>
  <si>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</si>
  <si>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</si>
  <si>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</si>
  <si>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</si>
  <si>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</si>
  <si>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</si>
  <si>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</si>
  <si>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</si>
  <si>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</si>
  <si>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</si>
  <si>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</si>
  <si>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</si>
  <si>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</si>
  <si>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</si>
  <si>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</si>
  <si>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</si>
  <si>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</si>
  <si>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</si>
  <si>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</si>
  <si>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</si>
  <si>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</si>
  <si>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</si>
  <si>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</si>
  <si>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</si>
  <si>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</si>
  <si>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</si>
  <si>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</si>
  <si>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</si>
  <si>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</si>
  <si>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</si>
  <si>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</si>
  <si>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</si>
  <si>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</si>
  <si>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</si>
  <si>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</si>
  <si>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</si>
  <si>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</si>
  <si>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</si>
  <si>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</si>
  <si>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</si>
  <si>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</si>
  <si>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</si>
  <si>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</si>
  <si>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</si>
  <si>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</si>
  <si>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</si>
  <si>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</si>
  <si>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</si>
  <si>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</si>
  <si>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</si>
  <si>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</si>
  <si>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</si>
  <si>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</si>
  <si>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</si>
  <si>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</si>
  <si>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</si>
  <si>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</si>
  <si>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</si>
  <si>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</si>
  <si>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</si>
  <si>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</si>
  <si>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</si>
  <si>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</si>
  <si>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</si>
  <si>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</si>
  <si>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</si>
  <si>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</si>
  <si>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</si>
  <si>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</si>
  <si>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</si>
  <si>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</si>
  <si>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</si>
  <si>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</si>
  <si>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</si>
  <si>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</si>
  <si>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</si>
  <si>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</si>
  <si>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</si>
  <si>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</si>
  <si>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</si>
  <si>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</si>
  <si>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</si>
  <si>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</si>
  <si>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</si>
  <si>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</si>
  <si>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</si>
  <si>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</si>
  <si>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</si>
  <si>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</si>
  <si>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</si>
  <si>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</si>
  <si>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</si>
  <si>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</si>
  <si>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</si>
  <si>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</si>
  <si>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</si>
  <si>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</si>
  <si>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</si>
  <si>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</si>
  <si>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</si>
  <si>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</si>
  <si>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</si>
  <si>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</si>
  <si>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</si>
  <si>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</si>
  <si>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</si>
  <si>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</si>
  <si>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</si>
  <si>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</si>
  <si>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</si>
  <si>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</si>
  <si>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</si>
  <si>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</si>
  <si>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</si>
  <si>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</si>
  <si>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</si>
  <si>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</si>
  <si>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</si>
  <si>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</si>
  <si>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</si>
  <si>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</si>
  <si>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</si>
  <si>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</si>
  <si>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</si>
  <si>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</si>
  <si>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</si>
  <si>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</si>
  <si>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</si>
  <si>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</si>
  <si>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</si>
  <si>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</si>
  <si>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</si>
  <si>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</si>
  <si>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</si>
  <si>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</si>
  <si>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</si>
  <si>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</si>
  <si>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</si>
  <si>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</si>
  <si>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</si>
  <si>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</si>
  <si>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</si>
  <si>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</si>
  <si>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</si>
  <si>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</si>
  <si>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</si>
  <si>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</si>
  <si>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</si>
  <si>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</si>
  <si>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</si>
  <si>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</si>
  <si>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</si>
  <si>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</si>
  <si>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</si>
  <si>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</si>
  <si>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</si>
  <si>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</si>
  <si>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</si>
  <si>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</si>
  <si>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</si>
  <si>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</si>
  <si>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</si>
  <si>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</si>
  <si>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</si>
  <si>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</si>
  <si>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</si>
  <si>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</si>
  <si>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</si>
  <si>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</si>
  <si>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</si>
  <si>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</si>
  <si>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</si>
  <si>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</si>
  <si>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</si>
  <si>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</si>
  <si>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</si>
  <si>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</si>
  <si>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</si>
  <si>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</si>
  <si>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</si>
  <si>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</si>
  <si>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</si>
  <si>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</si>
  <si>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</si>
  <si>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</si>
  <si>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</si>
  <si>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</si>
  <si>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</si>
  <si>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</si>
  <si>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</si>
  <si>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</si>
  <si>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</si>
  <si>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</si>
  <si>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</si>
  <si>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</si>
  <si>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</si>
  <si>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</si>
  <si>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</si>
  <si>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</si>
  <si>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</si>
  <si>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</si>
  <si>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</si>
  <si>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</si>
  <si>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</si>
  <si>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</si>
  <si>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</si>
  <si>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</si>
  <si>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</si>
  <si>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</si>
  <si>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</si>
  <si>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</si>
  <si>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</si>
  <si>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</si>
  <si>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</si>
  <si>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</si>
  <si>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</si>
  <si>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</si>
  <si>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</si>
  <si>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</si>
  <si>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</si>
  <si>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</si>
  <si>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</si>
  <si>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</si>
  <si>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</si>
  <si>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</si>
  <si>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</si>
  <si>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</si>
  <si>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</si>
  <si>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</si>
  <si>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</si>
  <si>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</si>
  <si>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</si>
  <si>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</si>
  <si>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</si>
  <si>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</si>
  <si>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</si>
  <si>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</si>
  <si>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</si>
  <si>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</si>
  <si>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</si>
  <si>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</si>
  <si>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</si>
  <si>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</si>
  <si>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</si>
  <si>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</si>
  <si>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</si>
  <si>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</si>
  <si>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</si>
  <si>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</si>
  <si>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</si>
  <si>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</si>
  <si>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</si>
  <si>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F60T12/HO</t>
  </si>
  <si>
    <t>Fluorescent, (1) 60", T-8 HO lamp, Instant Start Ballast</t>
  </si>
  <si>
    <t>F51SHE</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</si>
  <si>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</si>
  <si>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</si>
  <si>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</si>
  <si>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</si>
  <si>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</si>
  <si>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</si>
  <si>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</si>
  <si>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</si>
  <si>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</si>
  <si>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</si>
  <si>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</si>
  <si>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</si>
  <si>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</si>
  <si>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</si>
  <si>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</si>
  <si>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</si>
  <si>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</si>
  <si>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</si>
  <si>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</si>
  <si>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</si>
  <si>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</si>
  <si>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</si>
  <si>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</si>
  <si>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</si>
  <si>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</si>
  <si>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</si>
  <si>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</si>
  <si>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</si>
  <si>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</si>
  <si>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</si>
  <si>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</si>
  <si>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</si>
  <si>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</si>
  <si>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</si>
  <si>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</si>
  <si>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</si>
  <si>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</si>
  <si>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</si>
  <si>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</si>
  <si>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</si>
  <si>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</si>
  <si>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</si>
  <si>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</si>
  <si>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</si>
  <si>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</si>
  <si>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</si>
  <si>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</si>
  <si>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</si>
  <si>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</si>
  <si>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</si>
  <si>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</si>
  <si>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</si>
  <si>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</si>
  <si>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</si>
  <si>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</si>
  <si>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</si>
  <si>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</si>
  <si>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</si>
  <si>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</si>
  <si>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</si>
  <si>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</si>
  <si>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</si>
  <si>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</si>
  <si>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</si>
  <si>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</si>
  <si>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</si>
  <si>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</si>
  <si>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</si>
  <si>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</si>
  <si>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</si>
  <si>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</si>
  <si>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</si>
  <si>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</si>
  <si>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</si>
  <si>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</si>
  <si>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</si>
  <si>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</si>
  <si>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</si>
  <si>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</si>
  <si>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</si>
  <si>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</si>
  <si>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</si>
  <si>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</si>
  <si>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</si>
  <si>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</si>
  <si>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</si>
  <si>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</si>
  <si>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</si>
  <si>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</si>
  <si>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</si>
  <si>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</si>
  <si>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</si>
  <si>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</si>
  <si>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</si>
  <si>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</si>
  <si>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</si>
  <si>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</si>
  <si>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</si>
  <si>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</si>
  <si>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</si>
  <si>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</si>
  <si>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</si>
  <si>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</si>
  <si>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</si>
  <si>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</si>
  <si>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</si>
  <si>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</si>
  <si>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</si>
  <si>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</si>
  <si>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</si>
  <si>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</si>
  <si>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</si>
  <si>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</si>
  <si>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</si>
  <si>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</si>
  <si>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</si>
  <si>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</si>
  <si>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</si>
  <si>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</si>
  <si>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</si>
  <si>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</si>
  <si>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</si>
  <si>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</si>
  <si>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</si>
  <si>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</si>
  <si>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</si>
  <si>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</si>
  <si>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</si>
  <si>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</si>
  <si>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</si>
  <si>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</si>
  <si>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</si>
  <si>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</si>
  <si>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</si>
  <si>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</si>
  <si>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</si>
  <si>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</si>
  <si>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</si>
  <si>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</si>
  <si>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</si>
  <si>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</si>
  <si>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</si>
  <si>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</si>
  <si>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</si>
  <si>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</si>
  <si>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</si>
  <si>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</si>
  <si>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</si>
  <si>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</si>
  <si>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</si>
  <si>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</si>
  <si>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</si>
  <si>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</si>
  <si>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</si>
  <si>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</si>
  <si>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</si>
  <si>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</si>
  <si>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</si>
  <si>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</si>
  <si>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</si>
  <si>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</si>
  <si>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</si>
  <si>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</si>
  <si>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</si>
  <si>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</si>
  <si>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</si>
  <si>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</si>
  <si>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</si>
  <si>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</si>
  <si>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</si>
  <si>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</si>
  <si>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</si>
  <si>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</si>
  <si>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</si>
  <si>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</si>
  <si>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</si>
  <si>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</si>
  <si>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</si>
  <si>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</si>
  <si>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</si>
  <si>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</si>
  <si>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</si>
  <si>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</si>
  <si>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</si>
  <si>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</si>
  <si>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</si>
  <si>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</si>
  <si>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</si>
  <si>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</si>
  <si>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</si>
  <si>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</si>
  <si>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</si>
  <si>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</si>
  <si>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</si>
  <si>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</si>
  <si>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</si>
  <si>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</si>
  <si>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</si>
  <si>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</si>
  <si>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</si>
  <si>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</si>
  <si>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</si>
  <si>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</si>
  <si>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</si>
  <si>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</si>
  <si>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</si>
  <si>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</si>
  <si>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</si>
  <si>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</si>
  <si>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</si>
  <si>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</si>
  <si>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</si>
  <si>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</si>
  <si>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</si>
  <si>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</si>
  <si>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</si>
  <si>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</si>
  <si>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</si>
  <si>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</si>
  <si>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</si>
  <si>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</si>
  <si>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</si>
  <si>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</si>
  <si>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</si>
  <si>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</si>
  <si>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</si>
  <si>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</si>
  <si>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</si>
  <si>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</si>
  <si>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</si>
  <si>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</si>
  <si>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</si>
  <si>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</si>
  <si>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</si>
  <si>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</si>
  <si>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</si>
  <si>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</si>
  <si>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</si>
  <si>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</si>
  <si>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</si>
  <si>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</si>
  <si>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</si>
  <si>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</si>
  <si>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</si>
  <si>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</si>
  <si>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</si>
  <si>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</si>
  <si>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</si>
  <si>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</si>
  <si>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</si>
  <si>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</si>
  <si>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</si>
  <si>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</si>
  <si>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</si>
  <si>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</si>
  <si>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</si>
  <si>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</si>
  <si>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</si>
  <si>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</si>
  <si>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</si>
  <si>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</si>
  <si>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</si>
  <si>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</si>
  <si>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</si>
  <si>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</si>
  <si>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</si>
  <si>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</si>
  <si>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</si>
  <si>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</si>
  <si>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</si>
  <si>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</si>
  <si>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</si>
  <si>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</si>
  <si>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</si>
  <si>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</si>
  <si>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</si>
  <si>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</si>
  <si>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</si>
  <si>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</si>
  <si>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</si>
  <si>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</si>
  <si>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</si>
  <si>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</si>
  <si>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</si>
  <si>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</si>
  <si>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</si>
  <si>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</si>
  <si>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</si>
  <si>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</si>
  <si>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</si>
  <si>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</si>
  <si>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</si>
  <si>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</si>
  <si>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</si>
  <si>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</si>
  <si>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</si>
  <si>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</si>
  <si>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</si>
  <si>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</si>
  <si>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</si>
  <si>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</si>
  <si>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</si>
  <si>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</si>
  <si>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</si>
  <si>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</si>
  <si>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</si>
  <si>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</si>
  <si>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</si>
  <si>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</si>
  <si>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</si>
  <si>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</si>
  <si>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</si>
  <si>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</si>
  <si>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</si>
  <si>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</si>
  <si>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</si>
  <si>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</si>
  <si>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</si>
  <si>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</si>
  <si>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</si>
  <si>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</si>
  <si>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</si>
  <si>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</si>
  <si>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</si>
  <si>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</si>
  <si>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</si>
  <si>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</si>
  <si>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</si>
  <si>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</si>
  <si>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</si>
  <si>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</si>
  <si>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</si>
  <si>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</si>
  <si>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</si>
  <si>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I100/1</t>
  </si>
  <si>
    <t>Incandescent</t>
  </si>
  <si>
    <t>Standard Incandescent</t>
  </si>
  <si>
    <t>I100</t>
  </si>
  <si>
    <t>Incandescent, (1)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</si>
  <si>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</si>
  <si>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</si>
  <si>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</si>
  <si>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</si>
  <si>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</si>
  <si>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</si>
  <si>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</si>
  <si>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</si>
  <si>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</si>
  <si>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</si>
  <si>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</si>
  <si>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</si>
  <si>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I125/1</t>
  </si>
  <si>
    <t>I125</t>
  </si>
  <si>
    <t>Incandescent, (1) 125W lamp</t>
  </si>
  <si>
    <t>I135/1</t>
  </si>
  <si>
    <t>I135</t>
  </si>
  <si>
    <t>Incandescent, (1) 135W lamp</t>
  </si>
  <si>
    <t>I15/1</t>
  </si>
  <si>
    <t>Incandescent, (1) 15W lamp</t>
  </si>
  <si>
    <t>I150/1</t>
  </si>
  <si>
    <t>I150</t>
  </si>
  <si>
    <t>Incandescent, (1)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</si>
  <si>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</si>
  <si>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</si>
  <si>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</si>
  <si>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</si>
  <si>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</si>
  <si>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</si>
  <si>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</si>
  <si>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</si>
  <si>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</si>
  <si>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</si>
  <si>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</si>
  <si>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</si>
  <si>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</si>
  <si>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</si>
  <si>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</si>
  <si>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</si>
  <si>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</si>
  <si>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</si>
  <si>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</si>
  <si>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</si>
  <si>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</si>
  <si>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</si>
  <si>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</si>
  <si>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</si>
  <si>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</si>
  <si>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</si>
  <si>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</si>
  <si>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</si>
  <si>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</si>
  <si>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</si>
  <si>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</si>
  <si>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</si>
  <si>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</si>
  <si>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I36/1</t>
  </si>
  <si>
    <t>Incandescent, (1) 36W lamp</t>
  </si>
  <si>
    <t>I40/1</t>
  </si>
  <si>
    <t>Incandescent, (1)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</si>
  <si>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</si>
  <si>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</si>
  <si>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</si>
  <si>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</si>
  <si>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</si>
  <si>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</si>
  <si>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</si>
  <si>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</si>
  <si>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</si>
  <si>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</si>
  <si>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</si>
  <si>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</si>
  <si>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</si>
  <si>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</si>
  <si>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</si>
  <si>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</si>
  <si>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</si>
  <si>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</si>
  <si>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</si>
  <si>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</si>
  <si>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I500/1</t>
  </si>
  <si>
    <t>I500</t>
  </si>
  <si>
    <t>Incandescent, (1) 500W lamp</t>
  </si>
  <si>
    <t>I52/1</t>
  </si>
  <si>
    <t>I52</t>
  </si>
  <si>
    <t>Incandescent, (1) 52W lamp</t>
  </si>
  <si>
    <t>I54/1</t>
  </si>
  <si>
    <t>I54</t>
  </si>
  <si>
    <t>Incandescent, (1) 54W lamp</t>
  </si>
  <si>
    <t>I55/1</t>
  </si>
  <si>
    <t>I55</t>
  </si>
  <si>
    <t>Incandescent, (1) 55W lamp</t>
  </si>
  <si>
    <t>I60/1</t>
  </si>
  <si>
    <t>I60</t>
  </si>
  <si>
    <t>Incandescent, (1) 60W lamp</t>
  </si>
  <si>
    <t>I60E/1</t>
  </si>
  <si>
    <t>I60/ES</t>
  </si>
  <si>
    <t>Incandescent, (1) 60W ES lamp</t>
  </si>
  <si>
    <t>I60EL/1</t>
  </si>
  <si>
    <t>I60/ES/LL</t>
  </si>
  <si>
    <t>Incandescent, (1) 60W ES/LL lamp</t>
  </si>
  <si>
    <t>I65/1</t>
  </si>
  <si>
    <t>I65</t>
  </si>
  <si>
    <t>Incandescent, (1) 65W lamp</t>
  </si>
  <si>
    <t>I67/1</t>
  </si>
  <si>
    <t>I67</t>
  </si>
  <si>
    <t>Incandescent, (1) 67W lamp</t>
  </si>
  <si>
    <t>I69/1</t>
  </si>
  <si>
    <t>I69</t>
  </si>
  <si>
    <t>Incandescent, (1) 69W lamp</t>
  </si>
  <si>
    <t>I7.5/1</t>
  </si>
  <si>
    <t>Tungsten exit light, (1) 7.5 W lamp,  used in night light application</t>
  </si>
  <si>
    <t>I72/1</t>
  </si>
  <si>
    <t>I72</t>
  </si>
  <si>
    <t>Incandescent, (1) 72W lamp</t>
  </si>
  <si>
    <t>I75/1</t>
  </si>
  <si>
    <t>I75</t>
  </si>
  <si>
    <t>Incandescent, (1)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</si>
  <si>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</si>
  <si>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</si>
  <si>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</si>
  <si>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</si>
  <si>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</si>
  <si>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</si>
  <si>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</si>
  <si>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</si>
  <si>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</si>
  <si>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</si>
  <si>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</si>
  <si>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</si>
  <si>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</si>
  <si>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</si>
  <si>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</si>
  <si>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</si>
  <si>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</si>
  <si>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</si>
  <si>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I93/1</t>
  </si>
  <si>
    <t>I93</t>
  </si>
  <si>
    <t>Incandescent, (1) 93W lamp</t>
  </si>
  <si>
    <t>I95/1</t>
  </si>
  <si>
    <t>I95</t>
  </si>
  <si>
    <t>Incandescent, (1) 95W lamp</t>
  </si>
  <si>
    <t>I100/2</t>
  </si>
  <si>
    <t>Incandescent, (2) 100W lamp</t>
  </si>
  <si>
    <t>I120/2</t>
  </si>
  <si>
    <t>Incandescent, (2) 120W lamp</t>
  </si>
  <si>
    <t>I135/2</t>
  </si>
  <si>
    <t>Incandescent, (2) 135W lamp</t>
  </si>
  <si>
    <t>I15/2</t>
  </si>
  <si>
    <t>Incandescent, (2) 15W lamp</t>
  </si>
  <si>
    <t>I150/2</t>
  </si>
  <si>
    <t>Incandescent, (2) 150W lamp</t>
  </si>
  <si>
    <t>I20/2</t>
  </si>
  <si>
    <t>Incandescent, (2) 20W lamp</t>
  </si>
  <si>
    <t>I200/2</t>
  </si>
  <si>
    <t>Incandescent, (2) 200W lamp</t>
  </si>
  <si>
    <t>I25/2</t>
  </si>
  <si>
    <t>Incandescent, (2) 25W lamp</t>
  </si>
  <si>
    <t>I34/2</t>
  </si>
  <si>
    <t>Incandescent, (2) 34W lamp</t>
  </si>
  <si>
    <t>I40/2</t>
  </si>
  <si>
    <t>Incandescent, (2) 40W lamp</t>
  </si>
  <si>
    <t>I50/2</t>
  </si>
  <si>
    <t>Incandescent, (2) 50W lamp</t>
  </si>
  <si>
    <t>I52/2</t>
  </si>
  <si>
    <t>Incandescent, (2) 52W lamp</t>
  </si>
  <si>
    <t>I54/2</t>
  </si>
  <si>
    <t>Incandescent, (2) 54W lamp</t>
  </si>
  <si>
    <t>I55/2</t>
  </si>
  <si>
    <t>Incandescent, (2) 55W lamp</t>
  </si>
  <si>
    <t>I60/2</t>
  </si>
  <si>
    <t>Incandescent, (2) 60W lamp</t>
  </si>
  <si>
    <t>I65/2</t>
  </si>
  <si>
    <t>Incandescent, (2) 65W lamp</t>
  </si>
  <si>
    <t>I67/2</t>
  </si>
  <si>
    <t>Incandescent, (2) 67W lamp</t>
  </si>
  <si>
    <t>I7.5/2</t>
  </si>
  <si>
    <t>Tungsten exit light, (2) 7.5 W lamp,  used in night light application</t>
  </si>
  <si>
    <t>I75/2</t>
  </si>
  <si>
    <t>Incandescent, (2) 75W lamp</t>
  </si>
  <si>
    <t>I90/2</t>
  </si>
  <si>
    <t>Incandescent, (2) 90W lamp</t>
  </si>
  <si>
    <t>I95/2</t>
  </si>
  <si>
    <t>Incandescent, (2) 95W lamp</t>
  </si>
  <si>
    <t>I100/3</t>
  </si>
  <si>
    <t>Incandescent, (3) 100W lamp</t>
  </si>
  <si>
    <t>I60/3</t>
  </si>
  <si>
    <t>Incandescent, (3) 60W lamp</t>
  </si>
  <si>
    <t>I67/3</t>
  </si>
  <si>
    <t>Incandescent, (3) 67W lamp</t>
  </si>
  <si>
    <t>I75/3</t>
  </si>
  <si>
    <t>Incandescent, (3) 75W lamp</t>
  </si>
  <si>
    <t>I90/3</t>
  </si>
  <si>
    <t>Incandescent, (3) 90W lamp</t>
  </si>
  <si>
    <t>I100/4</t>
  </si>
  <si>
    <t>Incandescent, (4) 100W lamp</t>
  </si>
  <si>
    <t>I25/4</t>
  </si>
  <si>
    <t>Incandescent, (4) 25W lamp</t>
  </si>
  <si>
    <t>I60/4</t>
  </si>
  <si>
    <t>Incandescent, (4) 60W lamp</t>
  </si>
  <si>
    <t>I75/4</t>
  </si>
  <si>
    <t>Incandescent, (4) 75W lamp</t>
  </si>
  <si>
    <t>I100/5</t>
  </si>
  <si>
    <t>Incandescent, (5) 100W lamp</t>
  </si>
  <si>
    <t>I60/5</t>
  </si>
  <si>
    <t>Incandescent, (5) 60W lamp</t>
  </si>
  <si>
    <t>H100/1</t>
  </si>
  <si>
    <t>Halogen Incandescent</t>
  </si>
  <si>
    <t>H100</t>
  </si>
  <si>
    <t>Halogen Incandescent, (1) 100W lamp</t>
  </si>
  <si>
    <t>H1000/1</t>
  </si>
  <si>
    <t>H1000</t>
  </si>
  <si>
    <t>Halogen Incandescent, (1) 1000W lamp</t>
  </si>
  <si>
    <t>H1200/1</t>
  </si>
  <si>
    <t>H1200</t>
  </si>
  <si>
    <t>Halogen Incandescent, (1) 1200W lamp</t>
  </si>
  <si>
    <t>H150/1</t>
  </si>
  <si>
    <t>H150</t>
  </si>
  <si>
    <t>Halogen Incandescent, (1)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</si>
  <si>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</si>
  <si>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</si>
  <si>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</si>
  <si>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</si>
  <si>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</si>
  <si>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</si>
  <si>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</si>
  <si>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</si>
  <si>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</si>
  <si>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</si>
  <si>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</si>
  <si>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</si>
  <si>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</si>
  <si>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</si>
  <si>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</si>
  <si>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</si>
  <si>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</si>
  <si>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</si>
  <si>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</si>
  <si>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</si>
  <si>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</si>
  <si>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</si>
  <si>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</si>
  <si>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</si>
  <si>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</si>
  <si>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</si>
  <si>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</si>
  <si>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</si>
  <si>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</si>
  <si>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</si>
  <si>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</si>
  <si>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</si>
  <si>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</si>
  <si>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</si>
  <si>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</si>
  <si>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</si>
  <si>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</si>
  <si>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</si>
  <si>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</si>
  <si>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</si>
  <si>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</si>
  <si>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</si>
  <si>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</si>
  <si>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</si>
  <si>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</si>
  <si>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H60/1</t>
  </si>
  <si>
    <t>H60</t>
  </si>
  <si>
    <t>Halogen Incandescent, (1) 60W lamp</t>
  </si>
  <si>
    <t>H72/1</t>
  </si>
  <si>
    <t>H72</t>
  </si>
  <si>
    <t>Halogen Incandescent, (1) 72W lamp</t>
  </si>
  <si>
    <t>H75/1</t>
  </si>
  <si>
    <t>H75</t>
  </si>
  <si>
    <t>Halogen Incandescent, (1) 75W lamp</t>
  </si>
  <si>
    <t>H750/1</t>
  </si>
  <si>
    <t>H750</t>
  </si>
  <si>
    <t>Halogen Incandescent, (1) 750W lamp</t>
  </si>
  <si>
    <t>H90/1</t>
  </si>
  <si>
    <t>H90</t>
  </si>
  <si>
    <t>Halogen Incandescent, (1)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</si>
  <si>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</si>
  <si>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</si>
  <si>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</si>
  <si>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</si>
  <si>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</si>
  <si>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</si>
  <si>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</si>
  <si>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</si>
  <si>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</si>
  <si>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</si>
  <si>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</si>
  <si>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</si>
  <si>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</si>
  <si>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</si>
  <si>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</si>
  <si>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</si>
  <si>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</si>
  <si>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</si>
  <si>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</si>
  <si>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</si>
  <si>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</si>
  <si>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</si>
  <si>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</si>
  <si>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</si>
  <si>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</si>
  <si>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</si>
  <si>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H45/2</t>
  </si>
  <si>
    <t>Halogen Incandescent, (2) 45W lamp</t>
  </si>
  <si>
    <t>H50/2</t>
  </si>
  <si>
    <t>Halogen Incandescent, (2) 50W lamp</t>
  </si>
  <si>
    <t>H55/2</t>
  </si>
  <si>
    <t>Halogen Incandescent, (2) 55W lamp</t>
  </si>
  <si>
    <t>H75/2</t>
  </si>
  <si>
    <t>Halogen Incandescent, (2) 75W lamp</t>
  </si>
  <si>
    <t>H90/2</t>
  </si>
  <si>
    <t>Halogen Incandescent, (2) 90W lamp</t>
  </si>
  <si>
    <t>QL55/1</t>
  </si>
  <si>
    <t>Induction Fluorescent</t>
  </si>
  <si>
    <t>QL55</t>
  </si>
  <si>
    <t>QL Induction, (1) 55W lamp</t>
  </si>
  <si>
    <t>Generator</t>
  </si>
  <si>
    <t>QL85/1</t>
  </si>
  <si>
    <t>QL85</t>
  </si>
  <si>
    <t>QL Induction, (1) 85W lamp</t>
  </si>
  <si>
    <t>QL165/1</t>
  </si>
  <si>
    <t>QL165</t>
  </si>
  <si>
    <t>QL Induction, (1) 165W lamp</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</si>
  <si>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</si>
  <si>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</si>
  <si>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</si>
  <si>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</si>
  <si>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</si>
  <si>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</si>
  <si>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</si>
  <si>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</si>
  <si>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</si>
  <si>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</si>
  <si>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</si>
  <si>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</si>
  <si>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</si>
  <si>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</si>
  <si>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</si>
  <si>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</si>
  <si>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</si>
  <si>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</si>
  <si>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</si>
  <si>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</si>
  <si>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</si>
  <si>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</si>
  <si>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</si>
  <si>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</si>
  <si>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</si>
  <si>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</si>
  <si>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</si>
  <si>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</si>
  <si>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</si>
  <si>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</si>
  <si>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</si>
  <si>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</si>
  <si>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</si>
  <si>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</si>
  <si>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</si>
  <si>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</si>
  <si>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</si>
  <si>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</si>
  <si>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</si>
  <si>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</si>
  <si>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</si>
  <si>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</si>
  <si>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</si>
  <si>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</si>
  <si>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</si>
  <si>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</si>
  <si>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</si>
  <si>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</si>
  <si>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</si>
  <si>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</si>
  <si>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</si>
  <si>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</si>
  <si>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</si>
  <si>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</si>
  <si>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</si>
  <si>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</si>
  <si>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</si>
  <si>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</si>
  <si>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</si>
  <si>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</si>
  <si>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</si>
  <si>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</si>
  <si>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</si>
  <si>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</si>
  <si>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</si>
  <si>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</si>
  <si>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</si>
  <si>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</si>
  <si>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</si>
  <si>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</si>
  <si>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</si>
  <si>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</si>
  <si>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</si>
  <si>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</si>
  <si>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</si>
  <si>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</si>
  <si>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</si>
  <si>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</si>
  <si>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</si>
  <si>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</si>
  <si>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</si>
  <si>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</si>
  <si>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</si>
  <si>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</si>
  <si>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</si>
  <si>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</si>
  <si>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</si>
  <si>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</si>
  <si>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</si>
  <si>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</si>
  <si>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</si>
  <si>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</si>
  <si>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</si>
  <si>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</si>
  <si>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</si>
  <si>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</si>
  <si>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</si>
  <si>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</si>
  <si>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</si>
  <si>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</si>
  <si>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</si>
  <si>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</si>
  <si>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</si>
  <si>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</si>
  <si>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</si>
  <si>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</si>
  <si>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</si>
  <si>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</si>
  <si>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</si>
  <si>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</si>
  <si>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</si>
  <si>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</si>
  <si>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</si>
  <si>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</si>
  <si>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</si>
  <si>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</si>
  <si>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</si>
  <si>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</si>
  <si>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</si>
  <si>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</si>
  <si>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</si>
  <si>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</si>
  <si>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</si>
  <si>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</si>
  <si>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</si>
  <si>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</si>
  <si>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</si>
  <si>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</si>
  <si>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</si>
  <si>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</si>
  <si>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</si>
  <si>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</si>
  <si>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</si>
  <si>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</si>
  <si>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</si>
  <si>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</si>
  <si>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</si>
  <si>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</si>
  <si>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</si>
  <si>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</si>
  <si>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</si>
  <si>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</si>
  <si>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</si>
  <si>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</si>
  <si>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</si>
  <si>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</si>
  <si>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</si>
  <si>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</si>
  <si>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</si>
  <si>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</si>
  <si>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</si>
  <si>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</si>
  <si>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</si>
  <si>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</si>
  <si>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</si>
  <si>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</si>
  <si>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</si>
  <si>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</si>
  <si>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</si>
  <si>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</si>
  <si>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</si>
  <si>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</si>
  <si>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</si>
  <si>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</si>
  <si>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</si>
  <si>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</si>
  <si>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</si>
  <si>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</si>
  <si>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</si>
  <si>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</si>
  <si>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</si>
  <si>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</si>
  <si>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</si>
  <si>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</si>
  <si>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</si>
  <si>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</si>
  <si>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</si>
  <si>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</si>
  <si>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</si>
  <si>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</si>
  <si>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</si>
  <si>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</si>
  <si>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</si>
  <si>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</si>
  <si>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</si>
  <si>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</si>
  <si>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</si>
  <si>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</si>
  <si>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</si>
  <si>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</si>
  <si>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</si>
  <si>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</si>
  <si>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</si>
  <si>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</si>
  <si>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</si>
  <si>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</si>
  <si>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</si>
  <si>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</si>
  <si>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</si>
  <si>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</si>
  <si>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</si>
  <si>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</si>
  <si>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</si>
  <si>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</si>
  <si>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</si>
  <si>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</si>
  <si>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</si>
  <si>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</si>
  <si>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</si>
  <si>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</si>
  <si>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</si>
  <si>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</si>
  <si>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</si>
  <si>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</si>
  <si>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</si>
  <si>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</si>
  <si>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</si>
  <si>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</si>
  <si>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</si>
  <si>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</si>
  <si>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</si>
  <si>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</si>
  <si>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</si>
  <si>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</si>
  <si>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</si>
  <si>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</si>
  <si>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</si>
  <si>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</si>
  <si>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</si>
  <si>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</si>
  <si>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</si>
  <si>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</si>
  <si>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</si>
  <si>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</si>
  <si>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</si>
  <si>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</si>
  <si>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</si>
  <si>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</si>
  <si>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</si>
  <si>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</si>
  <si>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</si>
  <si>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</si>
  <si>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</si>
  <si>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</si>
  <si>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</si>
  <si>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</si>
  <si>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</si>
  <si>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SUMMARY</t>
  </si>
  <si>
    <t>Fixture and Sensor Summary</t>
  </si>
  <si>
    <t>.</t>
  </si>
  <si>
    <t xml:space="preserve">Customer Contact: </t>
  </si>
  <si>
    <t xml:space="preserve">Building Type: </t>
  </si>
  <si>
    <t xml:space="preserve">Facility Size: </t>
  </si>
  <si>
    <t>Total Savings</t>
  </si>
  <si>
    <t>Change in Connected Load</t>
  </si>
  <si>
    <t>Peak Demand Savings</t>
  </si>
  <si>
    <t>Annual Energy Savings</t>
  </si>
  <si>
    <t>Lighting Only</t>
  </si>
  <si>
    <t>Controls Only</t>
  </si>
  <si>
    <t>LOOKUPS</t>
  </si>
  <si>
    <t>HOU, CF, and IF
by Facility Type</t>
  </si>
  <si>
    <t>Screw-Based
CFL &amp; LED</t>
  </si>
  <si>
    <t>Other General Service Lighting</t>
  </si>
  <si>
    <t>All Bulb Types
0% Electric Heat</t>
  </si>
  <si>
    <t>All Bulb Types
100% Electric Heat</t>
  </si>
  <si>
    <t>IF by Space
Cooling Type</t>
  </si>
  <si>
    <t>SVG by
Control Type</t>
  </si>
  <si>
    <t>Schedule Names</t>
  </si>
  <si>
    <t>Non-Integral Ballast LED Fixture Codes</t>
  </si>
  <si>
    <t>Facility Type</t>
  </si>
  <si>
    <r>
      <t>IF</t>
    </r>
    <r>
      <rPr>
        <vertAlign val="subscript"/>
        <sz val="11"/>
        <color theme="0"/>
        <rFont val="Calibri"/>
        <family val="2"/>
        <scheme val="minor"/>
      </rPr>
      <t>energy</t>
    </r>
  </si>
  <si>
    <r>
      <t>IF</t>
    </r>
    <r>
      <rPr>
        <vertAlign val="subscript"/>
        <sz val="11"/>
        <color theme="0"/>
        <rFont val="Calibri"/>
        <family val="2"/>
        <scheme val="minor"/>
      </rPr>
      <t>demand</t>
    </r>
  </si>
  <si>
    <t>Code</t>
  </si>
  <si>
    <t>SVG</t>
  </si>
  <si>
    <t>DLC Listing Type</t>
  </si>
  <si>
    <t>Length</t>
  </si>
  <si>
    <t>Light Switch</t>
  </si>
  <si>
    <t>48" Linear Fluorescent Tube Replacement</t>
  </si>
  <si>
    <t>LT</t>
  </si>
  <si>
    <t>Education</t>
  </si>
  <si>
    <t>Freezer</t>
  </si>
  <si>
    <t>Occupancy Sensors</t>
  </si>
  <si>
    <t>24" Linear Fluorescent Tube Replacement</t>
  </si>
  <si>
    <t>Exterior</t>
  </si>
  <si>
    <t>Med. Temp. Refrg.</t>
  </si>
  <si>
    <t>Time Clocks</t>
  </si>
  <si>
    <t>O_TC</t>
  </si>
  <si>
    <t>High-Bay Luminaires</t>
  </si>
  <si>
    <t>HBR</t>
  </si>
  <si>
    <t>Grocery</t>
  </si>
  <si>
    <t>High Temp. Refrg.</t>
  </si>
  <si>
    <t>Energy Management System</t>
  </si>
  <si>
    <t>O_EMS</t>
  </si>
  <si>
    <t>Outdoor Pole/Arm-Mounted Luminaires</t>
  </si>
  <si>
    <t>OP/A</t>
  </si>
  <si>
    <t>Health</t>
  </si>
  <si>
    <t>Unconditioned</t>
  </si>
  <si>
    <t>Photosensors</t>
  </si>
  <si>
    <t>DL_PS</t>
  </si>
  <si>
    <t>Outdoor Wall-Mounted Luminaires</t>
  </si>
  <si>
    <t>OW</t>
  </si>
  <si>
    <t>Industrial/Manufacturing - 1 Shift</t>
  </si>
  <si>
    <t>Values in cells with blue shading will not populate unless Facility Type and Heating Fuel are specified in cells D23 and I25 of the "General Information" tab.</t>
  </si>
  <si>
    <t>DL_TC</t>
  </si>
  <si>
    <t>Refrigerated Display Case Luminaires</t>
  </si>
  <si>
    <t>RDL</t>
  </si>
  <si>
    <t>Industrial/Manufacturing - 2 Shift</t>
  </si>
  <si>
    <t>Dimmers</t>
  </si>
  <si>
    <t>PT_DIM</t>
  </si>
  <si>
    <t>Street Lamp Luminaires</t>
  </si>
  <si>
    <t>ST</t>
  </si>
  <si>
    <t>Industrial/Manufacturing - 3 Shift</t>
  </si>
  <si>
    <t>Wireless on-off switches</t>
  </si>
  <si>
    <t>PT_WS</t>
  </si>
  <si>
    <t>Institutional/Public Service</t>
  </si>
  <si>
    <t>Bi-level switches</t>
  </si>
  <si>
    <t>PT_BLS</t>
  </si>
  <si>
    <t>Lodging</t>
  </si>
  <si>
    <t>Computer based controls</t>
  </si>
  <si>
    <t>PT_CC</t>
  </si>
  <si>
    <t>Miscellaneous</t>
  </si>
  <si>
    <t>Pre-set scene selection</t>
  </si>
  <si>
    <t>PT_PSS</t>
  </si>
  <si>
    <t>Dimmable ballasts</t>
  </si>
  <si>
    <t>IT_DIM</t>
  </si>
  <si>
    <t>Parking Garage</t>
  </si>
  <si>
    <t>On-off or dimmer switches for non-personal tuning</t>
  </si>
  <si>
    <t>Restaurant</t>
  </si>
  <si>
    <t>Occupancy and personal tuning/daylighting and occupancy</t>
  </si>
  <si>
    <t>MT</t>
  </si>
  <si>
    <t>Retail</t>
  </si>
  <si>
    <t>Street Lighting</t>
  </si>
  <si>
    <t>New Construction SVG Accountability</t>
  </si>
  <si>
    <t>Warehouse</t>
  </si>
  <si>
    <t>Values written in blue were not collected as part of the Commercial Light Metering Study and have been populated with 2015 TRM values.
Values in cells with blue shading will not populate unless EDC is specified in cell D18 of the "General Information" tab.</t>
  </si>
  <si>
    <t>% Req.</t>
  </si>
  <si>
    <t>NC SVG</t>
  </si>
  <si>
    <t>ASHRAE Space Type</t>
  </si>
  <si>
    <t>LPD</t>
  </si>
  <si>
    <t>ASHRAE Building Type</t>
  </si>
  <si>
    <t>Active Storage</t>
  </si>
  <si>
    <t>Automotive facility</t>
  </si>
  <si>
    <t>Active Storage - For Hospital</t>
  </si>
  <si>
    <t>Convention center</t>
  </si>
  <si>
    <t>Atrium - Each Additional Floor</t>
  </si>
  <si>
    <t>Courthouse</t>
  </si>
  <si>
    <t>Atrium - First Three Floors</t>
  </si>
  <si>
    <t>Dining: bar lounge/leisure</t>
  </si>
  <si>
    <t>Audience Seating Area</t>
  </si>
  <si>
    <t>Dining: cafeteria/fast food</t>
  </si>
  <si>
    <t>Audience Seating Area - For Convention Center</t>
  </si>
  <si>
    <t>Dining: family</t>
  </si>
  <si>
    <t>Audience Seating Area - For Exercise Center</t>
  </si>
  <si>
    <t>Dormitory</t>
  </si>
  <si>
    <t>Audience Seating Area - For Gymnasium</t>
  </si>
  <si>
    <t>Exercise center</t>
  </si>
  <si>
    <t>Audience Seating Area - For Motion Picture Theater</t>
  </si>
  <si>
    <t>Gymnasium</t>
  </si>
  <si>
    <t>Audience Seating Area - For Penitentiary</t>
  </si>
  <si>
    <t>Health-care clinic</t>
  </si>
  <si>
    <t>Audience Seating Area - For Performing Arts Theater</t>
  </si>
  <si>
    <t>Hospital</t>
  </si>
  <si>
    <t>% Req. column dictates the percentage of the total area of each building type found to be a space type requiring occupancy sensors by code per the Commercial Light Metering Study.</t>
  </si>
  <si>
    <t>Audience Seating Area - For Religious Buildings</t>
  </si>
  <si>
    <t>Hotel</t>
  </si>
  <si>
    <t>Audience Seating Area - For Sports Arenas</t>
  </si>
  <si>
    <t>Library</t>
  </si>
  <si>
    <t>Audience Seating Area - For Transportation</t>
  </si>
  <si>
    <t>Manufacturing - 1 Shift</t>
  </si>
  <si>
    <t>Automotive - Service/Repair</t>
  </si>
  <si>
    <t>Manufacturing - 2 Shift</t>
  </si>
  <si>
    <t>Bank/Office-Banking Activity Area</t>
  </si>
  <si>
    <t>Manufacturing - 3 Shift</t>
  </si>
  <si>
    <t>Classroom/Lecture/Training</t>
  </si>
  <si>
    <t>Motel</t>
  </si>
  <si>
    <t>Classroom/Lecture/Training - For Penitentiary</t>
  </si>
  <si>
    <t>Motion picture theater</t>
  </si>
  <si>
    <t>Conference/Meeting/Multi-Purpose</t>
  </si>
  <si>
    <t>Multifamily</t>
  </si>
  <si>
    <t>Convention Center Exhibit Space</t>
  </si>
  <si>
    <t>Museum</t>
  </si>
  <si>
    <t>Corridor/Transition</t>
  </si>
  <si>
    <t>Corridor/Transition - For Hospital</t>
  </si>
  <si>
    <t>Parking garage</t>
  </si>
  <si>
    <t>Corridor/Transition - For Manufacturing Facility</t>
  </si>
  <si>
    <t>Penitentiary</t>
  </si>
  <si>
    <t>Courthouse/Police Station/Penitentiary - Confinement Cells</t>
  </si>
  <si>
    <t>Performing arts theater</t>
  </si>
  <si>
    <t>Courthouse/Police Station/Penitentiary - Courtroom</t>
  </si>
  <si>
    <t>Police/fire station</t>
  </si>
  <si>
    <t>Courthouse/Police Station/Penitentiary - Judges' Chambers</t>
  </si>
  <si>
    <t>Post office</t>
  </si>
  <si>
    <t>Dining Area</t>
  </si>
  <si>
    <t>Religious building</t>
  </si>
  <si>
    <t>Dining Area - For Bar Lounge/Leisure Dining</t>
  </si>
  <si>
    <t>Dining Area - For Family Dining</t>
  </si>
  <si>
    <t>School/university</t>
  </si>
  <si>
    <t>Dining Area - For Hotel</t>
  </si>
  <si>
    <t>Sports arena</t>
  </si>
  <si>
    <t>Dining Area - For Motel</t>
  </si>
  <si>
    <t>Town hall</t>
  </si>
  <si>
    <t>Dining Area - For Penitentiary</t>
  </si>
  <si>
    <t>Transportation</t>
  </si>
  <si>
    <t>Dormitory - Living Quarters</t>
  </si>
  <si>
    <t>Dressing/Locker/Fitting Room</t>
  </si>
  <si>
    <t>Workshop</t>
  </si>
  <si>
    <t>Electrical/Mechanical</t>
  </si>
  <si>
    <t>Fire Stations - Engine Room</t>
  </si>
  <si>
    <t>Fire Stations - Sleeping Quarters</t>
  </si>
  <si>
    <t>Food Preparation</t>
  </si>
  <si>
    <t>Gymnasium/Exercise Center - Exercise Area</t>
  </si>
  <si>
    <t>Gymnasium/Exercise Center - Playing Area</t>
  </si>
  <si>
    <t>Hospital - Emergency</t>
  </si>
  <si>
    <t>Hospital - Exam/Treatment</t>
  </si>
  <si>
    <t>Hospital - Laundry - Washing</t>
  </si>
  <si>
    <t>Hospital - Medical Supply</t>
  </si>
  <si>
    <t>Hospital - Nursery</t>
  </si>
  <si>
    <t>Hospital - Nurses' Station</t>
  </si>
  <si>
    <t>Hospital - Operating Room</t>
  </si>
  <si>
    <t>Hospital - Patient Room</t>
  </si>
  <si>
    <t>Hospital - Pharmacy</t>
  </si>
  <si>
    <t>Hospital - Physical Therapy</t>
  </si>
  <si>
    <t>Hospital - Radiology</t>
  </si>
  <si>
    <t>Hospital - Recovery</t>
  </si>
  <si>
    <t>Hotel/Motel Guest Rooms</t>
  </si>
  <si>
    <t>Inactive Storage</t>
  </si>
  <si>
    <t>Inactive Storage - For Museum</t>
  </si>
  <si>
    <t>Laboratory</t>
  </si>
  <si>
    <t>Library - Card File and Cataloging</t>
  </si>
  <si>
    <t>Library - Reading Area</t>
  </si>
  <si>
    <t>Library - Stacks</t>
  </si>
  <si>
    <t>Lobby</t>
  </si>
  <si>
    <t>Lobby - For Hotel</t>
  </si>
  <si>
    <t>Lobby - For Motion Picture Theater</t>
  </si>
  <si>
    <t>Lobby - For Performing Arts Center</t>
  </si>
  <si>
    <t>Lounge/Recreation</t>
  </si>
  <si>
    <t>Lounge/Recreation - For Hospital</t>
  </si>
  <si>
    <t>Manufacturing - Control Room</t>
  </si>
  <si>
    <t>Manufacturing - Detailed Manufacturing</t>
  </si>
  <si>
    <t>Manufacturing - Equipment Room</t>
  </si>
  <si>
    <t>Manufacturing - High Bay (≥25Ft Fl. to Ceiling Height)</t>
  </si>
  <si>
    <t>Manufacturing - Low Bay (&lt;25Ft Fl. to Ceiling Height)</t>
  </si>
  <si>
    <t>Museum - General Exhibition</t>
  </si>
  <si>
    <t>Museum - Restoration</t>
  </si>
  <si>
    <t>Office - Open Plan</t>
  </si>
  <si>
    <t>Parking Garage - Garage Area</t>
  </si>
  <si>
    <t>Post Office - Sorting Area</t>
  </si>
  <si>
    <t>Religious Buildings - Fellowship Hall</t>
  </si>
  <si>
    <t>Religious Buildings - Worship Pulpit, Choir</t>
  </si>
  <si>
    <t>Restrooms</t>
  </si>
  <si>
    <t>Retail - Mall Concourse</t>
  </si>
  <si>
    <t>Retail - Sales Area</t>
  </si>
  <si>
    <t>Sales Area</t>
  </si>
  <si>
    <t>Sports Arenas - Court Sports Area</t>
  </si>
  <si>
    <t>Sports Arenas - Indoor Playing Field Area</t>
  </si>
  <si>
    <t>Sports Arenas - Ring Sports Area</t>
  </si>
  <si>
    <t>Stairs - Active</t>
  </si>
  <si>
    <t>Transportation - Air/Train/Bus - Baggage Area</t>
  </si>
  <si>
    <t>Transportation - Airport - Concourse</t>
  </si>
  <si>
    <t>Transportation - Terminal Ticket Counter</t>
  </si>
  <si>
    <t>Warehouse - Fine Material Storage</t>
  </si>
  <si>
    <t>Warehouse - Medium/Bulky Material Storage</t>
  </si>
  <si>
    <t>Lamps Installed:</t>
  </si>
  <si>
    <t>Lamps Removed:</t>
  </si>
  <si>
    <t>Controls Installed Counter</t>
  </si>
  <si>
    <t>Lamps Removed Counter</t>
  </si>
  <si>
    <t>Lamps Installed Counter</t>
  </si>
  <si>
    <t>Fixtures Installed:</t>
  </si>
  <si>
    <t>Fixtures Removed:</t>
  </si>
  <si>
    <r>
      <t xml:space="preserve"> </t>
    </r>
    <r>
      <rPr>
        <b/>
        <sz val="15"/>
        <color theme="0"/>
        <rFont val="Calibri"/>
        <family val="2"/>
      </rPr>
      <t xml:space="preserve">❶ </t>
    </r>
    <r>
      <rPr>
        <b/>
        <i/>
        <sz val="15"/>
        <color theme="0"/>
        <rFont val="Calibri"/>
        <family val="2"/>
        <scheme val="minor"/>
      </rPr>
      <t>Project / Site Information</t>
    </r>
  </si>
  <si>
    <t>Space Designation</t>
  </si>
  <si>
    <t>&lt;Name Your Space Type&gt;</t>
  </si>
  <si>
    <t>Create up to 20 custom space types using the table below. These space types will be used on the "Lighting Inventory" form to describe where fixtures were installed.</t>
  </si>
  <si>
    <t>Space Types</t>
  </si>
  <si>
    <r>
      <t xml:space="preserve">5.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</si>
  <si>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</si>
  <si>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G:D37</t>
  </si>
  <si>
    <t>Cell D37, "Calculation Method", is only applicable in the event that the application is for a New Construction project. In this case, specify whether the project should be evaluated using the "Space-by-Space Method" or the "Building Area Method".</t>
  </si>
  <si>
    <t>G:C41</t>
  </si>
  <si>
    <t>G:D41</t>
  </si>
  <si>
    <t>For cells D41 through D60, "Space Type", select the option from the drop-down menu that best describes the usage of the designated space type. These space types will be the only spaces available on the lighting inventory sheet, so be sure to include all spaces included in the project.</t>
  </si>
  <si>
    <t>For cells J41 through J60, "Schedule", which schedule will be used to evaluate this space type. The user can either select to use TRM-deemed values, or a custom schedule as created in the table below. Note that in the event of custom schedules, the user will need to create the custom schedules in step 4 before they are available for selection in step 3.</t>
  </si>
  <si>
    <t>G:J41</t>
  </si>
  <si>
    <t>G:N41</t>
  </si>
  <si>
    <t>For cells N41 through N60, "Cooling Type", select the option from the drop-down menu that best describes the cooling type of the designated space type.</t>
  </si>
  <si>
    <t>G:O41</t>
  </si>
  <si>
    <t>G:Q41</t>
  </si>
  <si>
    <t>Cell O37, "Allowable Watts", displays the ASHRAE allowable total wattage for the facility based on the space details provided.</t>
  </si>
  <si>
    <t>G:O37</t>
  </si>
  <si>
    <t>For cells R15 through AD15, "Schedule Designation", specify a name for the custom schedule being designated in the cells below.</t>
  </si>
  <si>
    <t>G:R15</t>
  </si>
  <si>
    <t>G:R17</t>
  </si>
  <si>
    <t>G:S17</t>
  </si>
  <si>
    <t>G:R24</t>
  </si>
  <si>
    <t>G:R25</t>
  </si>
  <si>
    <t>Unoccupied Peak Weeks</t>
  </si>
  <si>
    <t>For cells C41 through C60, "Space Designation", provide a name for  the space described in the details of subsequent columns.</t>
  </si>
  <si>
    <r>
      <t xml:space="preserve">For Column C, </t>
    </r>
    <r>
      <rPr>
        <sz val="12"/>
        <color rgb="FF0070CD"/>
        <rFont val="Calibri"/>
        <family val="2"/>
        <scheme val="minor"/>
      </rPr>
      <t>"Space Type"</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IF</t>
    </r>
    <r>
      <rPr>
        <vertAlign val="subscript"/>
        <sz val="12"/>
        <color theme="1"/>
        <rFont val="Calibri"/>
        <family val="2"/>
        <scheme val="minor"/>
      </rPr>
      <t>energy</t>
    </r>
    <r>
      <rPr>
        <sz val="12"/>
        <color theme="1"/>
        <rFont val="Calibri"/>
        <family val="2"/>
        <scheme val="minor"/>
      </rPr>
      <t xml:space="preserve"> and IF</t>
    </r>
    <r>
      <rPr>
        <vertAlign val="subscript"/>
        <sz val="12"/>
        <color theme="1"/>
        <rFont val="Calibri"/>
        <family val="2"/>
        <scheme val="minor"/>
      </rPr>
      <t>demand</t>
    </r>
    <r>
      <rPr>
        <sz val="12"/>
        <color theme="1"/>
        <rFont val="Calibri"/>
        <family val="2"/>
        <scheme val="minor"/>
      </rPr>
      <t xml:space="preserve"> values in Columns V and W.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</si>
  <si>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t>D37</t>
  </si>
  <si>
    <t>C41</t>
  </si>
  <si>
    <t>The user-defined name of the space that will be defined in the subsequent columns.</t>
  </si>
  <si>
    <t>D41</t>
  </si>
  <si>
    <t>J41</t>
  </si>
  <si>
    <t>N41</t>
  </si>
  <si>
    <t>O41</t>
  </si>
  <si>
    <t>Q41</t>
  </si>
  <si>
    <t>O37</t>
  </si>
  <si>
    <t>R15</t>
  </si>
  <si>
    <t>R17</t>
  </si>
  <si>
    <t>S17</t>
  </si>
  <si>
    <t>R24</t>
  </si>
  <si>
    <t>R25</t>
  </si>
  <si>
    <t>The number of weeks the facility is unoccupied during the months of June, July, and Augsust.</t>
  </si>
  <si>
    <t>Only if "Yearly Operating Weeks" is less than 52 in Cell V28.</t>
  </si>
  <si>
    <r>
      <t xml:space="preserve">4.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</si>
  <si>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</si>
  <si>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</si>
  <si>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T12 EPACT/EISA Baseline</t>
  </si>
  <si>
    <t>F26ILL</t>
  </si>
  <si>
    <t>F61ILL</t>
  </si>
  <si>
    <t>F63ILL</t>
  </si>
  <si>
    <t>F64ILL</t>
  </si>
  <si>
    <t>EPACT/EISA Compliance</t>
  </si>
  <si>
    <t>Baseline Code for 24" 6-Lamp T12 EPACT/EISA Compliant T8</t>
  </si>
  <si>
    <t>Baseline Code for 72" 1-Lamp T12 EPACT/EISA Compliant T8</t>
  </si>
  <si>
    <t>Baseline Code for 72" 3-Lamp T12 EPACT/EISA Compliant T8</t>
  </si>
  <si>
    <t>Baseline Code for 72" 4-Lamp T12 EPACT/EISA Compliant T8</t>
  </si>
  <si>
    <t>F62ILL</t>
  </si>
  <si>
    <t>Baseline Code for 72" 2-Lamp T12 EPACT/EISA Compliant T8</t>
  </si>
  <si>
    <t>F36ILL</t>
  </si>
  <si>
    <t>Baseline Code for 36" 6-Lamp T12 EPACT/EISA Compliant T8</t>
  </si>
  <si>
    <t>NEW CONSTRUCTION WHOLE BUILDING</t>
  </si>
  <si>
    <t>F83LHL</t>
  </si>
  <si>
    <t>F86LHL</t>
  </si>
  <si>
    <t>Baseline Code for 96" 3-Lamp T12HO EPACT/EISA Compliant T8</t>
  </si>
  <si>
    <t>Baseline Code for 96" 6-Lamp T12HO EPACT/EISA Compliant T8</t>
  </si>
  <si>
    <t>F60T8/HO</t>
  </si>
  <si>
    <t>Intermediate CF Calculations</t>
  </si>
  <si>
    <t xml:space="preserve">Version 22 (Submitted March 16, 2015 for 2016 Tentative Order)   </t>
  </si>
  <si>
    <t>Revised "Wattage Table", now called "Fixture Identities", to reflect new changes to the TRM and Appendix C.</t>
  </si>
  <si>
    <t xml:space="preserve">Wattage Controlled by
Newly Installed Lighting Controls: </t>
  </si>
  <si>
    <t>Δ Load
(kW)</t>
  </si>
  <si>
    <t>Fixture Quantity</t>
  </si>
  <si>
    <t>Optional Space Details
(e.g. Room Number)</t>
  </si>
  <si>
    <t xml:space="preserve">Facility Type: </t>
  </si>
  <si>
    <t>SWE Facility Type</t>
  </si>
  <si>
    <t>Uncovered Parking Area: Parking Lots and Drives</t>
  </si>
  <si>
    <t>Building Grounds: Walkways less than 10 ft wide</t>
  </si>
  <si>
    <t>Building Grounds: Walkways 10 ft wide or greater</t>
  </si>
  <si>
    <t>Building Grounds: Plaza areas</t>
  </si>
  <si>
    <t>Building Grounds: Special feature areas</t>
  </si>
  <si>
    <t>Building Grounds: Stairways</t>
  </si>
  <si>
    <t>Building Entrances and Exits: Main entries</t>
  </si>
  <si>
    <t>Building Entrances and Exits: Other doors</t>
  </si>
  <si>
    <t>Outdoor sales: Open Areas (including vehicle sales lots)</t>
  </si>
  <si>
    <t>Outdoor sales: Street frontage for vehicle sales in addition to "open area" allowance</t>
  </si>
  <si>
    <t>Building Facades: per illuminated wall or surface area</t>
  </si>
  <si>
    <t>Building Facades: per illuminated wall or surface length</t>
  </si>
  <si>
    <t>Automated teller machines and night depositories: per first location</t>
  </si>
  <si>
    <t>Automated teller machines and night depositories: per additional locations</t>
  </si>
  <si>
    <t>Entrances and gatehouse inspection stations at guarded facilities</t>
  </si>
  <si>
    <t>Loading areas for law enforcement, fire, ambulance, and other emergency service vehicles</t>
  </si>
  <si>
    <t>Drive-through windows at fast food restaurants</t>
  </si>
  <si>
    <t>Parking near 24-hour retail entrances</t>
  </si>
  <si>
    <t>Linear Feet</t>
  </si>
  <si>
    <t>Units</t>
  </si>
  <si>
    <t>Qty. of Units</t>
  </si>
  <si>
    <t>Canopies and Overhangs</t>
  </si>
  <si>
    <t>Wattage Allowance per Unit</t>
  </si>
  <si>
    <t>Linear Feet of Door Width</t>
  </si>
  <si>
    <t>First ATM Location</t>
  </si>
  <si>
    <t>Additional ATM Locations</t>
  </si>
  <si>
    <t>Drive-throughs</t>
  </si>
  <si>
    <t>Main Entries</t>
  </si>
  <si>
    <t>The "Summary" sheet contains an overview of the customer information, the quantities of measures installed, and the associated total savings achieved by the project.</t>
  </si>
  <si>
    <t>For cells O41 through O60, "Qty. of Units", specify the number of units (defined in column Q) included in the designated space type.</t>
  </si>
  <si>
    <t>Cells Q41 through Q60, "Units", display the ASHRAE designated units for calculating wattage allowance for the space type selected.</t>
  </si>
  <si>
    <t>Wattage Allowance Per Unit</t>
  </si>
  <si>
    <t>Cells T41 through T60, "Wattage Allowance per Unit", display the ASHRAE designated allowable wattage per the unit described in column Q for calculating wattage allowance for the space type selected.</t>
  </si>
  <si>
    <t>G:T41</t>
  </si>
  <si>
    <t>Cell AF27, "Screw-In Hours of Use", displays the TRM-deemed hours of use associated with screw-in bulbs for the building type selected.</t>
  </si>
  <si>
    <t>Cell AF28, "Screw-In CF", displays the TRM-deemed coincidence factor associated with screw-in bulbs for the building type selected.</t>
  </si>
  <si>
    <t>Cell AG27, "General Hours of Use", displays the TRM-deemed hours of use associated with general service bulbs for the building type selected.</t>
  </si>
  <si>
    <t>Cell AG28, "General Coincidence Factor", displays the TRM-deemed coincidence factor associated with general service bulbs for the building type selected.</t>
  </si>
  <si>
    <t>For each "Holidays Observed Annually" cell, specify the number of days the facility shuts down completely for the given schedule.</t>
  </si>
  <si>
    <t>For each "Yearly Operating Weeks" cell, specify the number of weeks the facility operates at the given custom schedule.</t>
  </si>
  <si>
    <t>For each "Unoccupied Peak Weeks" cell, specify the number of weeks the facility is closed during the months of June, July, and August for the given custom schedule.</t>
  </si>
  <si>
    <t>G:R27</t>
  </si>
  <si>
    <t>G:R28</t>
  </si>
  <si>
    <t>G:AF27</t>
  </si>
  <si>
    <t>G:AF28</t>
  </si>
  <si>
    <t>G:AG27</t>
  </si>
  <si>
    <t>G:AG28</t>
  </si>
  <si>
    <t>G:R26</t>
  </si>
  <si>
    <t>Lighting Power Allowances
Space-by-Space Method</t>
  </si>
  <si>
    <t>Lighting Power Allowances
Building Area Method</t>
  </si>
  <si>
    <t>AF27</t>
  </si>
  <si>
    <t>AF28</t>
  </si>
  <si>
    <t>AG27</t>
  </si>
  <si>
    <t>AG28</t>
  </si>
  <si>
    <t>R26</t>
  </si>
  <si>
    <t>Fixture Quantity. (Post)</t>
  </si>
  <si>
    <t>For cells O41 through O60, "Qty. of Units", specify the number of units (described in column T) included in the designated space type.</t>
  </si>
  <si>
    <t>The ASHRAE designated units for which an allowable wattage is specified for the space type selected.</t>
  </si>
  <si>
    <t>T41</t>
  </si>
  <si>
    <t>The ASHRAE designated allowable wattager per the unit specified for the space type selected. This will be used as the baseline for savings calculations in the event that this is a New Construction project.</t>
  </si>
  <si>
    <t>Fixture Quantity (Pre)</t>
  </si>
  <si>
    <t>F932</t>
  </si>
  <si>
    <t>K932</t>
  </si>
  <si>
    <t>M932</t>
  </si>
  <si>
    <t>Values written in blue were added for functionality reasons and are not directly from ASHRAE.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</si>
</sst>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1" formatCode="#,##0&quot; Watts&quot;"/>
  </numFmts>
  <fonts count="8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sz val="12"/>
      <color theme="0" tint="-4.9989318521683403E-2"/>
      <name val="Calibri"/>
      <family val="2"/>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s>
  <borders count="109">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tted">
        <color auto="1"/>
      </right>
      <top style="medium">
        <color indexed="64"/>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indexed="64"/>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thin">
        <color indexed="64"/>
      </top>
      <bottom style="medium">
        <color indexed="64"/>
      </bottom>
      <diagonal/>
    </border>
    <border>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right style="thin">
        <color auto="1"/>
      </right>
      <top style="thin">
        <color auto="1"/>
      </top>
      <bottom style="medium">
        <color indexed="64"/>
      </bottom>
      <diagonal/>
    </border>
    <border>
      <left style="thin">
        <color auto="1"/>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s>
  <cellStyleXfs count="9">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5" fillId="0" borderId="0"/>
    <xf numFmtId="0" fontId="1" fillId="0" borderId="0"/>
    <xf numFmtId="0" fontId="25" fillId="0" borderId="0"/>
    <xf numFmtId="0" fontId="25" fillId="0" borderId="0"/>
    <xf numFmtId="0" fontId="25" fillId="0" borderId="0"/>
    <xf numFmtId="0" fontId="25" fillId="0" borderId="0"/>
  </cellStyleXfs>
  <cellXfs count="624">
    <xf numFmtId="0" fontId="0" fillId="0" borderId="0" xfId="0"/>
    <xf numFmtId="0" fontId="8" fillId="2" borderId="0" xfId="0" applyFont="1" applyFill="1"/>
    <xf numFmtId="0" fontId="8" fillId="3" borderId="0" xfId="0" applyFont="1" applyFill="1" applyBorder="1" applyProtection="1"/>
    <xf numFmtId="0" fontId="9" fillId="3" borderId="0" xfId="0" applyFont="1" applyFill="1" applyBorder="1" applyAlignment="1" applyProtection="1">
      <alignment horizontal="left" vertical="center"/>
    </xf>
    <xf numFmtId="0" fontId="7" fillId="3" borderId="0" xfId="0" applyFont="1" applyFill="1" applyBorder="1" applyAlignment="1" applyProtection="1"/>
    <xf numFmtId="0" fontId="10" fillId="4" borderId="0" xfId="0" applyFont="1" applyFill="1" applyBorder="1" applyProtection="1"/>
    <xf numFmtId="0" fontId="11" fillId="4" borderId="0" xfId="0" applyFont="1" applyFill="1" applyBorder="1" applyAlignment="1" applyProtection="1"/>
    <xf numFmtId="0" fontId="28" fillId="4" borderId="0" xfId="0" applyFont="1" applyFill="1" applyBorder="1" applyAlignment="1" applyProtection="1">
      <alignment horizontal="left" vertical="center"/>
    </xf>
    <xf numFmtId="0" fontId="8"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7" fillId="3" borderId="0" xfId="0" applyFont="1" applyFill="1" applyBorder="1" applyAlignment="1" applyProtection="1">
      <alignment horizontal="left"/>
    </xf>
    <xf numFmtId="0" fontId="10" fillId="4" borderId="0" xfId="0" applyFont="1" applyFill="1" applyBorder="1" applyAlignment="1" applyProtection="1">
      <alignment horizontal="left"/>
    </xf>
    <xf numFmtId="0" fontId="11" fillId="4" borderId="0" xfId="0" applyFont="1" applyFill="1" applyBorder="1" applyAlignment="1" applyProtection="1">
      <alignment horizontal="center"/>
    </xf>
    <xf numFmtId="0" fontId="11" fillId="4" borderId="0" xfId="0" applyFont="1" applyFill="1" applyBorder="1" applyAlignment="1" applyProtection="1">
      <alignment horizontal="left"/>
    </xf>
    <xf numFmtId="0" fontId="11" fillId="4" borderId="15" xfId="0" applyFont="1" applyFill="1" applyBorder="1" applyAlignment="1" applyProtection="1">
      <alignment horizontal="center"/>
    </xf>
    <xf numFmtId="0" fontId="11" fillId="4" borderId="16" xfId="0" applyFont="1" applyFill="1" applyBorder="1" applyAlignment="1" applyProtection="1">
      <alignment horizontal="center"/>
    </xf>
    <xf numFmtId="0" fontId="0" fillId="3" borderId="0" xfId="0" applyFill="1" applyBorder="1" applyProtection="1"/>
    <xf numFmtId="0" fontId="9" fillId="3" borderId="0" xfId="0" applyFont="1" applyFill="1" applyBorder="1" applyAlignment="1" applyProtection="1"/>
    <xf numFmtId="0" fontId="0" fillId="2" borderId="0" xfId="0" applyFill="1" applyBorder="1" applyProtection="1"/>
    <xf numFmtId="0" fontId="48" fillId="6" borderId="43" xfId="0" applyFont="1" applyFill="1" applyBorder="1" applyAlignment="1" applyProtection="1">
      <alignment horizontal="center"/>
    </xf>
    <xf numFmtId="1" fontId="45" fillId="6" borderId="43" xfId="0" applyNumberFormat="1" applyFont="1" applyFill="1" applyBorder="1" applyAlignment="1" applyProtection="1">
      <alignment horizontal="center"/>
    </xf>
    <xf numFmtId="0" fontId="51" fillId="8" borderId="0" xfId="0" applyFont="1" applyFill="1" applyBorder="1" applyProtection="1"/>
    <xf numFmtId="0" fontId="51" fillId="8" borderId="54" xfId="0" applyFont="1" applyFill="1" applyBorder="1" applyProtection="1"/>
    <xf numFmtId="0" fontId="51" fillId="8" borderId="56" xfId="0" applyFont="1" applyFill="1" applyBorder="1" applyAlignment="1" applyProtection="1">
      <alignment horizontal="center"/>
    </xf>
    <xf numFmtId="0" fontId="51" fillId="8" borderId="57" xfId="0" applyFont="1" applyFill="1" applyBorder="1" applyAlignment="1" applyProtection="1">
      <alignment horizontal="center"/>
    </xf>
    <xf numFmtId="0" fontId="51" fillId="8" borderId="59" xfId="0" applyFont="1" applyFill="1" applyBorder="1" applyAlignment="1" applyProtection="1">
      <alignment horizontal="center"/>
    </xf>
    <xf numFmtId="0" fontId="51" fillId="8" borderId="60" xfId="0" applyFont="1" applyFill="1" applyBorder="1" applyAlignment="1" applyProtection="1">
      <alignment horizontal="center"/>
    </xf>
    <xf numFmtId="0" fontId="0" fillId="3" borderId="0" xfId="0" applyFill="1"/>
    <xf numFmtId="0" fontId="2" fillId="4" borderId="37" xfId="0" applyFont="1" applyFill="1" applyBorder="1" applyAlignment="1">
      <alignment horizontal="center" wrapText="1"/>
    </xf>
    <xf numFmtId="0" fontId="2" fillId="4" borderId="29" xfId="0" applyFont="1" applyFill="1" applyBorder="1" applyAlignment="1">
      <alignment horizontal="center" wrapText="1"/>
    </xf>
    <xf numFmtId="0" fontId="2" fillId="4" borderId="38" xfId="0" applyFont="1" applyFill="1" applyBorder="1" applyAlignment="1">
      <alignment horizontal="center" wrapText="1"/>
    </xf>
    <xf numFmtId="0" fontId="5" fillId="4" borderId="43" xfId="0" applyFont="1" applyFill="1" applyBorder="1" applyAlignment="1">
      <alignment horizontal="center"/>
    </xf>
    <xf numFmtId="0" fontId="5" fillId="6" borderId="44" xfId="0" applyFont="1" applyFill="1" applyBorder="1"/>
    <xf numFmtId="0" fontId="5" fillId="6" borderId="43" xfId="0" applyFont="1" applyFill="1" applyBorder="1" applyAlignment="1">
      <alignment horizontal="center"/>
    </xf>
    <xf numFmtId="0" fontId="5" fillId="6" borderId="1" xfId="0" applyFont="1" applyFill="1" applyBorder="1" applyAlignment="1">
      <alignment horizontal="center"/>
    </xf>
    <xf numFmtId="3" fontId="5" fillId="6" borderId="1" xfId="0" applyNumberFormat="1" applyFont="1" applyFill="1" applyBorder="1" applyAlignment="1">
      <alignment horizontal="center"/>
    </xf>
    <xf numFmtId="0" fontId="5" fillId="6" borderId="44" xfId="0" applyFont="1" applyFill="1" applyBorder="1" applyAlignment="1">
      <alignment horizontal="center"/>
    </xf>
    <xf numFmtId="3" fontId="5" fillId="6" borderId="44" xfId="0" applyNumberFormat="1" applyFont="1" applyFill="1" applyBorder="1" applyAlignment="1">
      <alignment horizontal="center"/>
    </xf>
    <xf numFmtId="0" fontId="5" fillId="6" borderId="21" xfId="0" applyFont="1" applyFill="1" applyBorder="1" applyAlignment="1">
      <alignment horizontal="center"/>
    </xf>
    <xf numFmtId="3" fontId="5" fillId="6" borderId="43" xfId="0" applyNumberFormat="1" applyFont="1" applyFill="1" applyBorder="1" applyAlignment="1">
      <alignment horizontal="center"/>
    </xf>
    <xf numFmtId="2" fontId="5" fillId="6" borderId="34" xfId="0" applyNumberFormat="1" applyFont="1" applyFill="1" applyBorder="1" applyAlignment="1">
      <alignment horizontal="center"/>
    </xf>
    <xf numFmtId="2" fontId="5" fillId="6" borderId="1" xfId="0" applyNumberFormat="1" applyFont="1" applyFill="1" applyBorder="1" applyAlignment="1">
      <alignment horizontal="center"/>
    </xf>
    <xf numFmtId="2" fontId="5" fillId="6" borderId="44" xfId="0" applyNumberFormat="1" applyFont="1" applyFill="1" applyBorder="1" applyAlignment="1">
      <alignment horizontal="center"/>
    </xf>
    <xf numFmtId="4" fontId="5" fillId="6" borderId="43" xfId="0" applyNumberFormat="1" applyFont="1" applyFill="1" applyBorder="1" applyAlignment="1">
      <alignment horizontal="center"/>
    </xf>
    <xf numFmtId="2" fontId="5" fillId="6" borderId="43"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0" fontId="0" fillId="5" borderId="43" xfId="0" applyFill="1" applyBorder="1" applyAlignment="1">
      <alignment horizontal="center"/>
    </xf>
    <xf numFmtId="3" fontId="0" fillId="5" borderId="44" xfId="0" applyNumberFormat="1" applyFill="1" applyBorder="1" applyAlignment="1">
      <alignment horizontal="center"/>
    </xf>
    <xf numFmtId="3" fontId="0" fillId="5" borderId="43" xfId="0" applyNumberFormat="1" applyFill="1" applyBorder="1" applyAlignment="1">
      <alignment horizontal="center"/>
    </xf>
    <xf numFmtId="2" fontId="0" fillId="5" borderId="1" xfId="0" applyNumberFormat="1" applyFill="1" applyBorder="1" applyAlignment="1">
      <alignment horizontal="center"/>
    </xf>
    <xf numFmtId="2" fontId="0" fillId="5" borderId="1" xfId="0" applyNumberFormat="1" applyFont="1" applyFill="1" applyBorder="1" applyAlignment="1">
      <alignment horizontal="center"/>
    </xf>
    <xf numFmtId="2" fontId="0" fillId="5" borderId="44" xfId="0" applyNumberFormat="1" applyFont="1" applyFill="1" applyBorder="1" applyAlignment="1">
      <alignment horizontal="center"/>
    </xf>
    <xf numFmtId="4" fontId="0" fillId="5" borderId="43" xfId="0" applyNumberFormat="1" applyFont="1" applyFill="1" applyBorder="1" applyAlignment="1">
      <alignment horizontal="center"/>
    </xf>
    <xf numFmtId="3" fontId="0" fillId="5" borderId="44" xfId="0" applyNumberFormat="1" applyFont="1" applyFill="1" applyBorder="1" applyAlignment="1">
      <alignment horizontal="center"/>
    </xf>
    <xf numFmtId="2" fontId="0" fillId="5" borderId="43" xfId="0" applyNumberFormat="1" applyFont="1" applyFill="1" applyBorder="1" applyAlignment="1">
      <alignment horizontal="center"/>
    </xf>
    <xf numFmtId="0" fontId="5" fillId="4" borderId="51" xfId="0" applyFont="1" applyFill="1" applyBorder="1" applyAlignment="1">
      <alignment horizontal="center"/>
    </xf>
    <xf numFmtId="0" fontId="0" fillId="5" borderId="30" xfId="0" applyFill="1" applyBorder="1" applyAlignment="1">
      <alignment horizontal="center"/>
    </xf>
    <xf numFmtId="3" fontId="0" fillId="5" borderId="30" xfId="0" applyNumberFormat="1" applyFill="1" applyBorder="1" applyAlignment="1">
      <alignment horizontal="center"/>
    </xf>
    <xf numFmtId="0" fontId="0" fillId="5" borderId="51" xfId="0" applyFill="1" applyBorder="1" applyAlignment="1">
      <alignment horizontal="center"/>
    </xf>
    <xf numFmtId="3" fontId="0" fillId="5" borderId="52" xfId="0" applyNumberFormat="1" applyFill="1" applyBorder="1" applyAlignment="1">
      <alignment horizontal="center"/>
    </xf>
    <xf numFmtId="3" fontId="0" fillId="5" borderId="51" xfId="0" applyNumberFormat="1" applyFill="1" applyBorder="1" applyAlignment="1">
      <alignment horizontal="center"/>
    </xf>
    <xf numFmtId="2" fontId="0" fillId="5" borderId="30" xfId="0" applyNumberFormat="1" applyFill="1" applyBorder="1" applyAlignment="1">
      <alignment horizontal="center"/>
    </xf>
    <xf numFmtId="2" fontId="0" fillId="5" borderId="30" xfId="0" applyNumberFormat="1" applyFont="1" applyFill="1" applyBorder="1" applyAlignment="1">
      <alignment horizontal="center"/>
    </xf>
    <xf numFmtId="2" fontId="0" fillId="5" borderId="52" xfId="0" applyNumberFormat="1" applyFont="1" applyFill="1" applyBorder="1" applyAlignment="1">
      <alignment horizontal="center"/>
    </xf>
    <xf numFmtId="4" fontId="0" fillId="5" borderId="51" xfId="0" applyNumberFormat="1" applyFont="1" applyFill="1" applyBorder="1" applyAlignment="1">
      <alignment horizontal="center"/>
    </xf>
    <xf numFmtId="3" fontId="0" fillId="5" borderId="52" xfId="0" applyNumberFormat="1" applyFont="1" applyFill="1" applyBorder="1" applyAlignment="1">
      <alignment horizontal="center"/>
    </xf>
    <xf numFmtId="2" fontId="0" fillId="5" borderId="51" xfId="0" applyNumberFormat="1" applyFont="1" applyFill="1" applyBorder="1" applyAlignment="1">
      <alignment horizontal="center"/>
    </xf>
    <xf numFmtId="0" fontId="0" fillId="3" borderId="0" xfId="0" applyFill="1" applyBorder="1" applyAlignment="1" applyProtection="1">
      <alignment horizontal="center"/>
    </xf>
    <xf numFmtId="0" fontId="11" fillId="4" borderId="1" xfId="5" applyFont="1" applyFill="1" applyBorder="1" applyAlignment="1" applyProtection="1">
      <alignment horizontal="center" vertical="center"/>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shrinkToFit="1"/>
    </xf>
    <xf numFmtId="0" fontId="11" fillId="4" borderId="1" xfId="5" quotePrefix="1" applyFont="1" applyFill="1" applyBorder="1" applyAlignment="1" applyProtection="1">
      <alignment horizontal="center" vertical="center" wrapText="1"/>
    </xf>
    <xf numFmtId="165" fontId="11" fillId="4" borderId="1" xfId="5" quotePrefix="1" applyNumberFormat="1" applyFont="1" applyFill="1" applyBorder="1" applyAlignment="1" applyProtection="1">
      <alignment horizontal="center" vertical="center" wrapText="1"/>
    </xf>
    <xf numFmtId="0" fontId="4" fillId="9" borderId="1" xfId="0" applyFont="1" applyFill="1" applyBorder="1" applyAlignment="1">
      <alignment horizontal="center"/>
    </xf>
    <xf numFmtId="167" fontId="0" fillId="9" borderId="1" xfId="0" applyNumberFormat="1" applyFont="1" applyFill="1" applyBorder="1" applyAlignment="1">
      <alignment horizontal="center"/>
    </xf>
    <xf numFmtId="0" fontId="0" fillId="9" borderId="1" xfId="0" applyFont="1" applyFill="1" applyBorder="1" applyAlignment="1">
      <alignment horizontal="center"/>
    </xf>
    <xf numFmtId="0" fontId="7" fillId="3" borderId="1" xfId="0" applyFont="1" applyFill="1" applyBorder="1" applyAlignment="1">
      <alignment horizontal="center"/>
    </xf>
    <xf numFmtId="167" fontId="7" fillId="3" borderId="1" xfId="0" applyNumberFormat="1" applyFont="1" applyFill="1" applyBorder="1" applyAlignment="1">
      <alignment horizontal="center"/>
    </xf>
    <xf numFmtId="4" fontId="35" fillId="5" borderId="1" xfId="0" applyNumberFormat="1" applyFont="1" applyFill="1" applyBorder="1" applyAlignment="1">
      <alignment horizontal="center"/>
    </xf>
    <xf numFmtId="2" fontId="35" fillId="5" borderId="44" xfId="0" applyNumberFormat="1" applyFont="1" applyFill="1" applyBorder="1" applyAlignment="1">
      <alignment horizontal="center"/>
    </xf>
    <xf numFmtId="3" fontId="35" fillId="5" borderId="80" xfId="0" applyNumberFormat="1" applyFont="1" applyFill="1" applyBorder="1" applyAlignment="1">
      <alignment horizontal="center"/>
    </xf>
    <xf numFmtId="3" fontId="35" fillId="5" borderId="73" xfId="0" applyNumberFormat="1" applyFont="1" applyFill="1" applyBorder="1" applyAlignment="1">
      <alignment horizontal="center"/>
    </xf>
    <xf numFmtId="0" fontId="0" fillId="4" borderId="0" xfId="0" applyFill="1"/>
    <xf numFmtId="0" fontId="0" fillId="3" borderId="0" xfId="0" applyFill="1" applyProtection="1"/>
    <xf numFmtId="0" fontId="0" fillId="4" borderId="0" xfId="0" applyFill="1" applyProtection="1"/>
    <xf numFmtId="4" fontId="47" fillId="5" borderId="51" xfId="0" applyNumberFormat="1" applyFont="1" applyFill="1" applyBorder="1" applyAlignment="1" applyProtection="1">
      <alignment horizontal="center"/>
    </xf>
    <xf numFmtId="4" fontId="47" fillId="5" borderId="52" xfId="0" applyNumberFormat="1" applyFont="1" applyFill="1" applyBorder="1" applyAlignment="1" applyProtection="1">
      <alignment horizontal="center"/>
    </xf>
    <xf numFmtId="0" fontId="0" fillId="2" borderId="0" xfId="0" applyFont="1" applyFill="1" applyBorder="1" applyProtection="1"/>
    <xf numFmtId="0" fontId="41" fillId="2" borderId="0" xfId="0" applyFont="1" applyFill="1" applyBorder="1" applyAlignment="1" applyProtection="1">
      <alignment horizontal="center"/>
    </xf>
    <xf numFmtId="0" fontId="51" fillId="8" borderId="87" xfId="0" applyFont="1" applyFill="1" applyBorder="1" applyAlignment="1" applyProtection="1">
      <alignment horizontal="center"/>
    </xf>
    <xf numFmtId="0" fontId="51" fillId="8" borderId="88" xfId="0" applyFont="1" applyFill="1" applyBorder="1" applyAlignment="1" applyProtection="1">
      <alignment horizontal="center"/>
    </xf>
    <xf numFmtId="1" fontId="45" fillId="6" borderId="34" xfId="0" applyNumberFormat="1" applyFont="1" applyFill="1" applyBorder="1" applyAlignment="1" applyProtection="1">
      <alignment horizontal="center"/>
    </xf>
    <xf numFmtId="0" fontId="48" fillId="6" borderId="34" xfId="0" applyFont="1" applyFill="1" applyBorder="1" applyAlignment="1" applyProtection="1">
      <alignment horizontal="center"/>
    </xf>
    <xf numFmtId="0" fontId="5" fillId="6" borderId="1" xfId="0" applyFont="1" applyFill="1" applyBorder="1" applyAlignment="1">
      <alignment horizontal="left" indent="1"/>
    </xf>
    <xf numFmtId="0" fontId="51" fillId="8" borderId="91" xfId="0" applyFont="1" applyFill="1" applyBorder="1" applyAlignment="1" applyProtection="1">
      <alignment horizontal="center"/>
    </xf>
    <xf numFmtId="0" fontId="51" fillId="8" borderId="92" xfId="0" applyFont="1" applyFill="1" applyBorder="1" applyAlignment="1" applyProtection="1">
      <alignment horizontal="center"/>
    </xf>
    <xf numFmtId="0" fontId="51" fillId="8" borderId="93" xfId="0" applyFont="1" applyFill="1" applyBorder="1" applyAlignment="1" applyProtection="1">
      <alignment horizontal="center"/>
    </xf>
    <xf numFmtId="0" fontId="51" fillId="8" borderId="89" xfId="0" applyFont="1" applyFill="1" applyBorder="1" applyAlignment="1" applyProtection="1">
      <alignment horizontal="center"/>
    </xf>
    <xf numFmtId="3" fontId="47" fillId="5" borderId="68" xfId="0" applyNumberFormat="1" applyFont="1" applyFill="1" applyBorder="1" applyAlignment="1" applyProtection="1">
      <alignment horizontal="center"/>
    </xf>
    <xf numFmtId="3" fontId="47" fillId="5" borderId="70" xfId="0" applyNumberFormat="1" applyFont="1" applyFill="1" applyBorder="1" applyAlignment="1" applyProtection="1">
      <alignment horizontal="center"/>
    </xf>
    <xf numFmtId="0" fontId="2" fillId="4" borderId="17" xfId="0" applyFont="1" applyFill="1" applyBorder="1" applyAlignment="1">
      <alignment horizontal="center" wrapText="1"/>
    </xf>
    <xf numFmtId="0" fontId="2" fillId="4" borderId="40" xfId="0" applyFont="1" applyFill="1" applyBorder="1" applyAlignment="1">
      <alignment horizontal="center" wrapText="1"/>
    </xf>
    <xf numFmtId="0" fontId="0" fillId="0" borderId="0" xfId="0" applyFill="1" applyProtection="1"/>
    <xf numFmtId="0" fontId="0" fillId="0" borderId="0" xfId="0" applyFill="1" applyBorder="1" applyProtection="1"/>
    <xf numFmtId="0" fontId="40" fillId="0" borderId="0" xfId="0" applyFont="1" applyFill="1" applyBorder="1" applyAlignment="1" applyProtection="1">
      <alignment horizontal="center" vertical="center"/>
    </xf>
    <xf numFmtId="0" fontId="41" fillId="0" borderId="0" xfId="0" applyFont="1" applyFill="1" applyBorder="1" applyAlignment="1" applyProtection="1">
      <alignment horizontal="center"/>
    </xf>
    <xf numFmtId="0" fontId="73" fillId="0" borderId="0" xfId="0" applyFont="1" applyFill="1" applyBorder="1" applyAlignment="1" applyProtection="1">
      <alignment horizontal="left" vertical="center" wrapText="1"/>
    </xf>
    <xf numFmtId="0" fontId="4" fillId="0" borderId="0" xfId="0" applyFont="1" applyFill="1" applyAlignment="1" applyProtection="1"/>
    <xf numFmtId="0" fontId="0" fillId="0" borderId="0" xfId="0" applyFont="1" applyFill="1" applyBorder="1" applyProtection="1"/>
    <xf numFmtId="0" fontId="0" fillId="0" borderId="0" xfId="0" applyFill="1" applyBorder="1" applyAlignment="1" applyProtection="1">
      <alignment horizontal="center"/>
    </xf>
    <xf numFmtId="0" fontId="0" fillId="2" borderId="4" xfId="0" applyFill="1" applyBorder="1" applyProtection="1"/>
    <xf numFmtId="0" fontId="35" fillId="2" borderId="5" xfId="0" applyFont="1" applyFill="1" applyBorder="1" applyAlignment="1" applyProtection="1"/>
    <xf numFmtId="0" fontId="36" fillId="2" borderId="5" xfId="0" applyFont="1" applyFill="1" applyBorder="1" applyAlignment="1" applyProtection="1"/>
    <xf numFmtId="0" fontId="38" fillId="2" borderId="5" xfId="0" applyFont="1" applyFill="1" applyBorder="1" applyAlignment="1" applyProtection="1"/>
    <xf numFmtId="0" fontId="39" fillId="2" borderId="5" xfId="0" applyFont="1" applyFill="1" applyBorder="1" applyAlignment="1" applyProtection="1">
      <alignment vertical="center"/>
    </xf>
    <xf numFmtId="0" fontId="0" fillId="2" borderId="5" xfId="0" applyFill="1" applyBorder="1" applyProtection="1"/>
    <xf numFmtId="0" fontId="0" fillId="2" borderId="6" xfId="0" applyFill="1" applyBorder="1" applyProtection="1"/>
    <xf numFmtId="0" fontId="0" fillId="2" borderId="10" xfId="0" applyFill="1" applyBorder="1" applyProtection="1"/>
    <xf numFmtId="0" fontId="35" fillId="2" borderId="11" xfId="0" applyFont="1" applyFill="1" applyBorder="1" applyAlignment="1" applyProtection="1"/>
    <xf numFmtId="0" fontId="36" fillId="2" borderId="11" xfId="0" applyFont="1" applyFill="1" applyBorder="1" applyAlignment="1" applyProtection="1"/>
    <xf numFmtId="0" fontId="38" fillId="2" borderId="11" xfId="0" applyFont="1" applyFill="1" applyBorder="1" applyAlignment="1" applyProtection="1"/>
    <xf numFmtId="0" fontId="39" fillId="2" borderId="11" xfId="0" applyFont="1" applyFill="1" applyBorder="1" applyAlignment="1" applyProtection="1">
      <alignment vertical="center"/>
    </xf>
    <xf numFmtId="0" fontId="0" fillId="2" borderId="11" xfId="0" applyFill="1" applyBorder="1" applyProtection="1"/>
    <xf numFmtId="0" fontId="0" fillId="2" borderId="12" xfId="0" applyFill="1" applyBorder="1" applyProtection="1"/>
    <xf numFmtId="0" fontId="41" fillId="2" borderId="7" xfId="0" applyFont="1" applyFill="1" applyBorder="1" applyAlignment="1" applyProtection="1">
      <alignment horizontal="center"/>
    </xf>
    <xf numFmtId="0" fontId="41" fillId="2" borderId="8" xfId="0" applyFont="1" applyFill="1" applyBorder="1" applyAlignment="1" applyProtection="1">
      <alignment horizontal="center"/>
    </xf>
    <xf numFmtId="0" fontId="42" fillId="2" borderId="0" xfId="0" applyFont="1" applyFill="1" applyBorder="1" applyAlignment="1" applyProtection="1">
      <alignment horizontal="center" vertical="top"/>
    </xf>
    <xf numFmtId="0" fontId="35" fillId="2" borderId="33" xfId="0" applyFont="1" applyFill="1" applyBorder="1" applyAlignment="1" applyProtection="1">
      <alignment horizontal="left"/>
    </xf>
    <xf numFmtId="0" fontId="4" fillId="2" borderId="7" xfId="0" applyFont="1" applyFill="1" applyBorder="1" applyAlignment="1" applyProtection="1">
      <alignment horizontal="right"/>
    </xf>
    <xf numFmtId="0" fontId="0" fillId="2" borderId="8" xfId="0" applyFill="1" applyBorder="1" applyProtection="1"/>
    <xf numFmtId="0" fontId="4" fillId="2" borderId="33" xfId="0" applyFont="1" applyFill="1" applyBorder="1" applyAlignment="1" applyProtection="1">
      <alignment horizontal="right"/>
    </xf>
    <xf numFmtId="0" fontId="4" fillId="2" borderId="0" xfId="0" applyFont="1" applyFill="1" applyBorder="1" applyAlignment="1" applyProtection="1">
      <alignment horizontal="right"/>
    </xf>
    <xf numFmtId="0" fontId="35" fillId="2" borderId="0" xfId="0" applyFont="1" applyFill="1" applyBorder="1" applyAlignment="1" applyProtection="1">
      <alignment horizontal="left"/>
    </xf>
    <xf numFmtId="0" fontId="0" fillId="2" borderId="0" xfId="0" applyFont="1" applyFill="1" applyBorder="1" applyAlignment="1" applyProtection="1">
      <alignment horizontal="right"/>
    </xf>
    <xf numFmtId="0" fontId="0" fillId="2" borderId="7" xfId="0" applyFill="1" applyBorder="1" applyProtection="1"/>
    <xf numFmtId="0" fontId="42" fillId="2" borderId="0" xfId="0" applyFont="1" applyFill="1" applyBorder="1" applyAlignment="1" applyProtection="1">
      <alignment horizontal="center" vertical="top" wrapText="1"/>
    </xf>
    <xf numFmtId="14" fontId="4" fillId="2" borderId="0" xfId="0" applyNumberFormat="1" applyFont="1" applyFill="1" applyBorder="1" applyAlignment="1" applyProtection="1">
      <alignment horizontal="right" indent="1"/>
    </xf>
    <xf numFmtId="0" fontId="0" fillId="2" borderId="43" xfId="0" applyFont="1" applyFill="1" applyBorder="1" applyAlignment="1" applyProtection="1">
      <alignment horizontal="center"/>
    </xf>
    <xf numFmtId="0" fontId="0" fillId="2" borderId="36" xfId="0" applyFont="1" applyFill="1" applyBorder="1" applyAlignment="1" applyProtection="1">
      <alignment horizontal="center"/>
    </xf>
    <xf numFmtId="0" fontId="0" fillId="2" borderId="34" xfId="0" applyFont="1" applyFill="1" applyBorder="1" applyAlignment="1" applyProtection="1">
      <alignment horizontal="center"/>
    </xf>
    <xf numFmtId="0" fontId="0" fillId="2" borderId="44" xfId="0" applyFont="1" applyFill="1" applyBorder="1" applyAlignment="1" applyProtection="1">
      <alignment horizontal="center"/>
    </xf>
    <xf numFmtId="14" fontId="0" fillId="2" borderId="0" xfId="0" applyNumberFormat="1" applyFont="1" applyFill="1" applyBorder="1" applyAlignment="1" applyProtection="1">
      <alignment horizontal="right" indent="1"/>
    </xf>
    <xf numFmtId="0" fontId="0" fillId="2" borderId="0" xfId="0" applyFont="1" applyFill="1" applyBorder="1" applyAlignment="1" applyProtection="1">
      <alignment horizontal="right" indent="1"/>
    </xf>
    <xf numFmtId="0" fontId="0" fillId="2" borderId="0" xfId="0" applyFont="1" applyFill="1" applyProtection="1"/>
    <xf numFmtId="0" fontId="73" fillId="2" borderId="8" xfId="0" applyFont="1" applyFill="1" applyBorder="1" applyAlignment="1" applyProtection="1">
      <alignment vertical="center" wrapText="1"/>
    </xf>
    <xf numFmtId="0" fontId="4" fillId="2" borderId="0" xfId="0" applyFont="1" applyFill="1" applyBorder="1" applyAlignment="1" applyProtection="1">
      <alignment horizontal="right" indent="1"/>
    </xf>
    <xf numFmtId="0" fontId="0" fillId="2" borderId="11" xfId="0" applyFont="1" applyFill="1" applyBorder="1" applyProtection="1"/>
    <xf numFmtId="0" fontId="73" fillId="2" borderId="11" xfId="0" applyFont="1" applyFill="1" applyBorder="1" applyAlignment="1" applyProtection="1"/>
    <xf numFmtId="0" fontId="73" fillId="2" borderId="11" xfId="0" applyFont="1" applyFill="1" applyBorder="1" applyAlignment="1" applyProtection="1">
      <alignment vertical="center" wrapText="1"/>
    </xf>
    <xf numFmtId="0" fontId="73" fillId="2" borderId="12" xfId="0" applyFont="1" applyFill="1" applyBorder="1" applyAlignment="1" applyProtection="1">
      <alignment vertical="center" wrapText="1"/>
    </xf>
    <xf numFmtId="0" fontId="42" fillId="2" borderId="0" xfId="0" applyFont="1" applyFill="1" applyBorder="1" applyAlignment="1" applyProtection="1">
      <alignment vertical="top" wrapText="1"/>
    </xf>
    <xf numFmtId="14" fontId="4" fillId="2" borderId="0" xfId="0" applyNumberFormat="1" applyFont="1" applyFill="1" applyBorder="1" applyAlignment="1" applyProtection="1">
      <alignment horizontal="right"/>
    </xf>
    <xf numFmtId="0" fontId="35" fillId="2" borderId="0" xfId="0" applyFont="1" applyFill="1" applyBorder="1" applyAlignment="1" applyProtection="1"/>
    <xf numFmtId="14" fontId="0" fillId="2" borderId="0" xfId="0" applyNumberFormat="1" applyFont="1" applyFill="1" applyBorder="1" applyAlignment="1" applyProtection="1">
      <alignment horizontal="left"/>
    </xf>
    <xf numFmtId="14" fontId="43" fillId="2" borderId="0" xfId="0" applyNumberFormat="1" applyFont="1" applyFill="1" applyBorder="1" applyAlignment="1" applyProtection="1"/>
    <xf numFmtId="0" fontId="4" fillId="2" borderId="0" xfId="0" applyFont="1" applyFill="1" applyBorder="1" applyAlignment="1" applyProtection="1">
      <alignment horizontal="center"/>
    </xf>
    <xf numFmtId="0" fontId="4" fillId="2" borderId="7" xfId="0" applyFont="1" applyFill="1" applyBorder="1" applyAlignment="1" applyProtection="1"/>
    <xf numFmtId="0" fontId="4" fillId="2" borderId="11" xfId="0" applyFont="1" applyFill="1" applyBorder="1" applyAlignment="1" applyProtection="1"/>
    <xf numFmtId="165" fontId="0" fillId="2" borderId="11" xfId="0" applyNumberFormat="1" applyFill="1" applyBorder="1" applyProtection="1"/>
    <xf numFmtId="0" fontId="45" fillId="6" borderId="1" xfId="0" applyFont="1" applyFill="1" applyBorder="1" applyAlignment="1" applyProtection="1">
      <alignment horizontal="center"/>
    </xf>
    <xf numFmtId="165" fontId="35" fillId="10" borderId="43" xfId="0" applyNumberFormat="1" applyFont="1" applyFill="1" applyBorder="1" applyAlignment="1" applyProtection="1">
      <alignment horizontal="center"/>
      <protection locked="0"/>
    </xf>
    <xf numFmtId="165" fontId="35" fillId="10" borderId="44" xfId="0" applyNumberFormat="1" applyFont="1" applyFill="1" applyBorder="1" applyAlignment="1" applyProtection="1">
      <alignment horizontal="center"/>
      <protection locked="0"/>
    </xf>
    <xf numFmtId="0" fontId="4" fillId="10" borderId="1" xfId="0" applyFont="1" applyFill="1" applyBorder="1" applyAlignment="1" applyProtection="1">
      <alignment horizontal="center"/>
      <protection locked="0"/>
    </xf>
    <xf numFmtId="0" fontId="35" fillId="10" borderId="1" xfId="0" applyFont="1" applyFill="1" applyBorder="1" applyAlignment="1" applyProtection="1">
      <alignment horizontal="center"/>
      <protection locked="0"/>
    </xf>
    <xf numFmtId="0" fontId="35" fillId="10" borderId="32" xfId="0" applyFont="1" applyFill="1" applyBorder="1" applyAlignment="1" applyProtection="1">
      <alignment horizontal="left"/>
      <protection locked="0"/>
    </xf>
    <xf numFmtId="164" fontId="35" fillId="10" borderId="32" xfId="0" applyNumberFormat="1" applyFont="1" applyFill="1" applyBorder="1" applyAlignment="1" applyProtection="1">
      <alignment horizontal="left"/>
      <protection locked="0"/>
    </xf>
    <xf numFmtId="0" fontId="0" fillId="0" borderId="0" xfId="0" applyFill="1" applyAlignment="1" applyProtection="1">
      <alignment horizontal="center"/>
    </xf>
    <xf numFmtId="0" fontId="0" fillId="0" borderId="0" xfId="0" applyFill="1"/>
    <xf numFmtId="0" fontId="55" fillId="0" borderId="0" xfId="0" applyFont="1" applyFill="1" applyBorder="1" applyAlignment="1" applyProtection="1">
      <alignment vertical="center" wrapText="1"/>
    </xf>
    <xf numFmtId="0" fontId="59" fillId="0" borderId="0" xfId="0" applyFont="1" applyFill="1" applyAlignment="1" applyProtection="1">
      <alignment vertical="center" wrapText="1"/>
    </xf>
    <xf numFmtId="0" fontId="58" fillId="0" borderId="0" xfId="0" applyFont="1" applyFill="1" applyAlignment="1" applyProtection="1">
      <alignment horizontal="center"/>
    </xf>
    <xf numFmtId="0" fontId="0" fillId="0" borderId="0" xfId="0" applyFill="1" applyAlignment="1">
      <alignment horizontal="center"/>
    </xf>
    <xf numFmtId="0" fontId="0" fillId="0" borderId="0" xfId="0" applyFill="1" applyAlignment="1"/>
    <xf numFmtId="0" fontId="0" fillId="10" borderId="1" xfId="0" applyFill="1" applyBorder="1" applyAlignment="1" applyProtection="1">
      <alignment horizontal="left" indent="1"/>
      <protection locked="0"/>
    </xf>
    <xf numFmtId="0" fontId="0" fillId="10" borderId="44" xfId="0" applyFill="1" applyBorder="1" applyProtection="1">
      <protection locked="0"/>
    </xf>
    <xf numFmtId="0" fontId="0" fillId="10" borderId="43" xfId="0" applyFill="1" applyBorder="1" applyAlignment="1" applyProtection="1">
      <alignment horizontal="center"/>
      <protection locked="0"/>
    </xf>
    <xf numFmtId="0" fontId="0" fillId="10" borderId="30" xfId="0" applyFill="1" applyBorder="1" applyAlignment="1" applyProtection="1">
      <alignment horizontal="left" indent="1"/>
      <protection locked="0"/>
    </xf>
    <xf numFmtId="0" fontId="0" fillId="10" borderId="52" xfId="0" applyFill="1" applyBorder="1" applyProtection="1">
      <protection locked="0"/>
    </xf>
    <xf numFmtId="0" fontId="0" fillId="10" borderId="5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0" fillId="10" borderId="44" xfId="0" applyFill="1" applyBorder="1" applyAlignment="1" applyProtection="1">
      <alignment horizontal="center"/>
      <protection locked="0"/>
    </xf>
    <xf numFmtId="0" fontId="0" fillId="10" borderId="52"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6" fillId="3" borderId="68" xfId="0" applyFont="1" applyFill="1" applyBorder="1" applyAlignment="1">
      <alignment horizontal="center" wrapText="1"/>
    </xf>
    <xf numFmtId="0" fontId="4" fillId="3" borderId="69" xfId="0" applyFont="1" applyFill="1" applyBorder="1" applyAlignment="1">
      <alignment horizontal="center" wrapText="1"/>
    </xf>
    <xf numFmtId="0" fontId="4" fillId="3" borderId="70" xfId="0" applyFont="1" applyFill="1" applyBorder="1" applyAlignment="1">
      <alignment horizontal="center" wrapText="1"/>
    </xf>
    <xf numFmtId="0" fontId="4" fillId="3" borderId="68" xfId="0" applyFont="1" applyFill="1" applyBorder="1" applyAlignment="1">
      <alignment horizontal="center" wrapText="1"/>
    </xf>
    <xf numFmtId="4" fontId="4" fillId="3" borderId="51" xfId="0" applyNumberFormat="1" applyFont="1" applyFill="1" applyBorder="1" applyAlignment="1" applyProtection="1">
      <alignment horizontal="center"/>
    </xf>
    <xf numFmtId="4" fontId="4" fillId="3" borderId="30" xfId="0" applyNumberFormat="1" applyFont="1" applyFill="1" applyBorder="1" applyAlignment="1" applyProtection="1">
      <alignment horizontal="center"/>
    </xf>
    <xf numFmtId="0" fontId="75" fillId="4" borderId="37" xfId="0" applyFont="1" applyFill="1" applyBorder="1" applyAlignment="1">
      <alignment horizontal="center" wrapText="1"/>
    </xf>
    <xf numFmtId="0" fontId="0" fillId="0" borderId="0" xfId="0" applyFont="1" applyFill="1"/>
    <xf numFmtId="0" fontId="5" fillId="0" borderId="0" xfId="0" applyFont="1" applyFill="1" applyProtection="1"/>
    <xf numFmtId="0" fontId="5" fillId="3" borderId="0" xfId="0" applyFont="1" applyFill="1" applyBorder="1" applyProtection="1"/>
    <xf numFmtId="0" fontId="76" fillId="0" borderId="0" xfId="0" applyFont="1" applyFill="1" applyProtection="1"/>
    <xf numFmtId="0" fontId="5" fillId="0" borderId="0" xfId="0" applyFont="1" applyFill="1"/>
    <xf numFmtId="0" fontId="2" fillId="0" borderId="0" xfId="0" applyFont="1" applyFill="1" applyAlignment="1">
      <alignment horizontal="center" wrapText="1"/>
    </xf>
    <xf numFmtId="0" fontId="5" fillId="0" borderId="0" xfId="0" applyFont="1" applyFill="1" applyAlignment="1" applyProtection="1">
      <alignment horizontal="center"/>
    </xf>
    <xf numFmtId="0" fontId="5" fillId="3" borderId="0" xfId="0" applyFont="1" applyFill="1" applyBorder="1" applyAlignment="1" applyProtection="1">
      <alignment horizontal="center"/>
    </xf>
    <xf numFmtId="0" fontId="10" fillId="4" borderId="0" xfId="0" applyFont="1" applyFill="1" applyBorder="1" applyAlignment="1" applyProtection="1">
      <alignment horizontal="center"/>
    </xf>
    <xf numFmtId="0" fontId="76" fillId="0" borderId="0" xfId="0" applyFont="1" applyFill="1" applyAlignment="1" applyProtection="1">
      <alignment horizontal="center"/>
    </xf>
    <xf numFmtId="0" fontId="5" fillId="0" borderId="0" xfId="0" applyFont="1" applyFill="1" applyAlignment="1">
      <alignment horizontal="center"/>
    </xf>
    <xf numFmtId="0" fontId="8" fillId="0" borderId="0" xfId="0" applyFont="1" applyFill="1"/>
    <xf numFmtId="0" fontId="8" fillId="0" borderId="2" xfId="0" applyFont="1" applyFill="1" applyBorder="1"/>
    <xf numFmtId="0" fontId="7" fillId="0" borderId="0" xfId="0" applyFont="1" applyFill="1"/>
    <xf numFmtId="0" fontId="14" fillId="0" borderId="0" xfId="2" applyFont="1" applyFill="1"/>
    <xf numFmtId="0" fontId="8" fillId="0" borderId="3" xfId="0" applyFont="1" applyFill="1" applyBorder="1"/>
    <xf numFmtId="0" fontId="15" fillId="0" borderId="0" xfId="0" applyFont="1" applyFill="1"/>
    <xf numFmtId="0" fontId="17" fillId="0" borderId="0" xfId="0" applyFont="1" applyFill="1"/>
    <xf numFmtId="0" fontId="8" fillId="0" borderId="0" xfId="0" applyFont="1" applyFill="1" applyAlignment="1">
      <alignment horizontal="left" vertical="top" wrapText="1"/>
    </xf>
    <xf numFmtId="0" fontId="8" fillId="0" borderId="0" xfId="0" applyFont="1" applyFill="1" applyAlignment="1">
      <alignment horizontal="right" vertical="top" wrapText="1"/>
    </xf>
    <xf numFmtId="0" fontId="22" fillId="0" borderId="0" xfId="0" applyFont="1" applyFill="1" applyAlignment="1">
      <alignment horizontal="left"/>
    </xf>
    <xf numFmtId="0" fontId="21" fillId="0" borderId="0" xfId="0" applyFont="1" applyFill="1" applyAlignment="1">
      <alignment vertical="top" wrapText="1"/>
    </xf>
    <xf numFmtId="0" fontId="8" fillId="0" borderId="0" xfId="0" applyFont="1" applyFill="1" applyAlignment="1">
      <alignment vertical="top" wrapText="1"/>
    </xf>
    <xf numFmtId="0" fontId="19" fillId="0" borderId="0" xfId="0" applyFont="1" applyFill="1" applyAlignment="1">
      <alignment horizontal="left"/>
    </xf>
    <xf numFmtId="0" fontId="21" fillId="0" borderId="0" xfId="0" applyFont="1" applyFill="1" applyAlignment="1">
      <alignment horizontal="left" vertical="top" wrapText="1"/>
    </xf>
    <xf numFmtId="0" fontId="19" fillId="0" borderId="0" xfId="0" applyFont="1" applyFill="1" applyAlignment="1">
      <alignment horizontal="right" vertical="top" wrapText="1"/>
    </xf>
    <xf numFmtId="0" fontId="19" fillId="0" borderId="0" xfId="0" applyFont="1" applyFill="1"/>
    <xf numFmtId="0" fontId="21" fillId="0" borderId="0" xfId="0" applyFont="1" applyFill="1" applyAlignment="1">
      <alignment vertical="top"/>
    </xf>
    <xf numFmtId="0" fontId="19" fillId="0" borderId="0" xfId="0" applyFont="1" applyFill="1" applyAlignment="1">
      <alignment horizontal="left" vertical="top" wrapText="1"/>
    </xf>
    <xf numFmtId="0" fontId="21" fillId="0" borderId="0" xfId="0" applyFont="1" applyFill="1" applyAlignment="1">
      <alignment horizontal="right" vertical="top" wrapText="1"/>
    </xf>
    <xf numFmtId="0" fontId="21" fillId="0" borderId="0" xfId="0"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xf numFmtId="0" fontId="21" fillId="0" borderId="0" xfId="0" applyFont="1" applyFill="1" applyAlignment="1"/>
    <xf numFmtId="0" fontId="21" fillId="0" borderId="0" xfId="0" applyFont="1" applyFill="1" applyAlignment="1">
      <alignment horizontal="right" vertical="top"/>
    </xf>
    <xf numFmtId="0" fontId="8" fillId="0" borderId="0" xfId="0" applyFont="1" applyFill="1" applyAlignment="1">
      <alignment vertical="top"/>
    </xf>
    <xf numFmtId="0" fontId="10" fillId="0" borderId="0" xfId="0" applyFont="1" applyFill="1"/>
    <xf numFmtId="0" fontId="10" fillId="0" borderId="0" xfId="0" applyFont="1" applyFill="1" applyAlignment="1">
      <alignment vertical="top" wrapText="1"/>
    </xf>
    <xf numFmtId="0" fontId="10" fillId="0" borderId="0" xfId="0" applyFont="1" applyFill="1" applyAlignment="1">
      <alignment horizontal="left" vertical="top" wrapText="1"/>
    </xf>
    <xf numFmtId="0" fontId="10" fillId="0" borderId="0" xfId="0" applyFont="1" applyFill="1" applyAlignment="1">
      <alignment vertical="top"/>
    </xf>
    <xf numFmtId="0" fontId="8" fillId="0" borderId="0" xfId="0" applyFont="1" applyFill="1" applyBorder="1"/>
    <xf numFmtId="0" fontId="29" fillId="0" borderId="0" xfId="3" applyFont="1" applyFill="1"/>
    <xf numFmtId="0" fontId="30" fillId="0" borderId="0" xfId="3" applyFont="1" applyFill="1" applyAlignment="1">
      <alignment horizontal="right"/>
    </xf>
    <xf numFmtId="0" fontId="30" fillId="0" borderId="0" xfId="3" applyFont="1" applyFill="1" applyAlignment="1">
      <alignment horizontal="left"/>
    </xf>
    <xf numFmtId="0" fontId="30" fillId="0" borderId="0" xfId="3" applyFont="1" applyFill="1"/>
    <xf numFmtId="0" fontId="8" fillId="0" borderId="0" xfId="4" applyFont="1" applyFill="1" applyAlignment="1">
      <alignment horizontal="right"/>
    </xf>
    <xf numFmtId="0" fontId="8" fillId="0" borderId="0" xfId="0" applyFont="1" applyFill="1" applyAlignment="1">
      <alignment horizontal="right"/>
    </xf>
    <xf numFmtId="0" fontId="8" fillId="0" borderId="0" xfId="0" applyFont="1" applyFill="1" applyAlignment="1" applyProtection="1">
      <alignment horizontal="left"/>
    </xf>
    <xf numFmtId="0" fontId="8" fillId="0" borderId="0" xfId="0" applyFont="1" applyFill="1" applyAlignment="1" applyProtection="1">
      <alignment horizontal="center"/>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xf>
    <xf numFmtId="0" fontId="8" fillId="0" borderId="19" xfId="0" applyFont="1" applyFill="1" applyBorder="1" applyAlignment="1" applyProtection="1">
      <alignment horizontal="center"/>
    </xf>
    <xf numFmtId="0" fontId="8" fillId="0" borderId="19" xfId="0" applyFont="1" applyFill="1" applyBorder="1" applyAlignment="1" applyProtection="1">
      <alignment horizontal="left"/>
    </xf>
    <xf numFmtId="0" fontId="8" fillId="0" borderId="19" xfId="0" applyFont="1" applyFill="1" applyBorder="1" applyAlignment="1" applyProtection="1">
      <alignment horizontal="left" wrapText="1"/>
    </xf>
    <xf numFmtId="0" fontId="8" fillId="0" borderId="20" xfId="0" applyFont="1" applyFill="1" applyBorder="1" applyAlignment="1" applyProtection="1">
      <alignment horizontal="center"/>
    </xf>
    <xf numFmtId="0" fontId="8" fillId="0" borderId="23" xfId="0" applyFont="1" applyFill="1" applyBorder="1" applyAlignment="1" applyProtection="1">
      <alignment horizontal="center"/>
    </xf>
    <xf numFmtId="0" fontId="8" fillId="0" borderId="23" xfId="0" applyFont="1" applyFill="1" applyBorder="1" applyAlignment="1" applyProtection="1">
      <alignment horizontal="left"/>
    </xf>
    <xf numFmtId="0" fontId="8" fillId="0" borderId="23" xfId="0" applyFont="1" applyFill="1" applyBorder="1" applyAlignment="1" applyProtection="1">
      <alignment horizontal="left" wrapText="1"/>
    </xf>
    <xf numFmtId="0" fontId="8" fillId="0" borderId="24" xfId="0" applyFont="1" applyFill="1" applyBorder="1" applyAlignment="1" applyProtection="1">
      <alignment horizontal="left" wrapText="1"/>
    </xf>
    <xf numFmtId="0" fontId="8" fillId="0" borderId="24" xfId="0" applyFont="1" applyFill="1" applyBorder="1" applyAlignment="1" applyProtection="1">
      <alignment horizontal="center"/>
    </xf>
    <xf numFmtId="0" fontId="8" fillId="0" borderId="27" xfId="0" applyFont="1" applyFill="1" applyBorder="1" applyAlignment="1" applyProtection="1">
      <alignment horizontal="center"/>
    </xf>
    <xf numFmtId="0" fontId="8" fillId="0" borderId="27" xfId="0" applyFont="1" applyFill="1" applyBorder="1" applyAlignment="1" applyProtection="1">
      <alignment horizontal="left"/>
    </xf>
    <xf numFmtId="0" fontId="8" fillId="0" borderId="27" xfId="0" applyFont="1" applyFill="1" applyBorder="1" applyAlignment="1" applyProtection="1">
      <alignment horizontal="left" wrapText="1"/>
    </xf>
    <xf numFmtId="0" fontId="8" fillId="0" borderId="28" xfId="0" applyFont="1" applyFill="1" applyBorder="1" applyAlignment="1" applyProtection="1">
      <alignment horizontal="center"/>
    </xf>
    <xf numFmtId="0" fontId="7" fillId="2" borderId="7"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0" fontId="7" fillId="2" borderId="8" xfId="0" applyFont="1" applyFill="1" applyBorder="1" applyAlignment="1" applyProtection="1">
      <alignment horizontal="left"/>
    </xf>
    <xf numFmtId="0" fontId="7" fillId="2" borderId="0" xfId="0" applyFont="1" applyFill="1" applyBorder="1" applyAlignment="1" applyProtection="1">
      <alignment horizontal="center"/>
      <protection locked="0"/>
    </xf>
    <xf numFmtId="0" fontId="8" fillId="2" borderId="10" xfId="0" applyFont="1" applyFill="1" applyBorder="1" applyAlignment="1" applyProtection="1">
      <alignment horizontal="left"/>
    </xf>
    <xf numFmtId="0" fontId="8" fillId="2" borderId="11" xfId="0" applyFont="1" applyFill="1" applyBorder="1" applyAlignment="1" applyProtection="1">
      <alignment horizontal="left"/>
    </xf>
    <xf numFmtId="0" fontId="8" fillId="2" borderId="11" xfId="0" applyFont="1" applyFill="1" applyBorder="1" applyAlignment="1" applyProtection="1">
      <alignment horizontal="center"/>
    </xf>
    <xf numFmtId="0" fontId="8" fillId="2" borderId="12" xfId="0" applyFont="1" applyFill="1" applyBorder="1" applyAlignment="1" applyProtection="1">
      <alignment horizontal="left"/>
    </xf>
    <xf numFmtId="0" fontId="78" fillId="2" borderId="0" xfId="0" applyFont="1" applyFill="1" applyBorder="1" applyAlignment="1" applyProtection="1">
      <alignment horizontal="center"/>
    </xf>
    <xf numFmtId="0" fontId="79" fillId="0" borderId="0" xfId="3" applyFont="1" applyFill="1"/>
    <xf numFmtId="0" fontId="7" fillId="10" borderId="9" xfId="0" applyFont="1" applyFill="1" applyBorder="1" applyAlignment="1" applyProtection="1">
      <alignment horizontal="center"/>
      <protection locked="0"/>
    </xf>
    <xf numFmtId="0" fontId="63" fillId="0" borderId="0" xfId="3" applyFont="1" applyFill="1" applyBorder="1" applyAlignment="1" applyProtection="1">
      <alignment horizontal="center"/>
    </xf>
    <xf numFmtId="0" fontId="26" fillId="2" borderId="1" xfId="6" applyFont="1" applyFill="1" applyBorder="1" applyAlignment="1" applyProtection="1">
      <alignment horizontal="center"/>
    </xf>
    <xf numFmtId="0" fontId="26" fillId="2" borderId="1" xfId="7" applyFont="1" applyFill="1" applyBorder="1" applyAlignment="1" applyProtection="1">
      <alignment horizontal="center" shrinkToFit="1"/>
    </xf>
    <xf numFmtId="0" fontId="26" fillId="2" borderId="1" xfId="7" applyFont="1" applyFill="1" applyBorder="1" applyAlignment="1" applyProtection="1">
      <alignment horizontal="center"/>
    </xf>
    <xf numFmtId="0" fontId="26" fillId="2" borderId="1" xfId="5" applyFont="1" applyFill="1" applyBorder="1" applyAlignment="1" applyProtection="1">
      <alignment horizontal="center"/>
    </xf>
    <xf numFmtId="0" fontId="1" fillId="2" borderId="1" xfId="7" applyFont="1" applyFill="1" applyBorder="1" applyAlignment="1" applyProtection="1">
      <alignment horizontal="center" shrinkToFit="1"/>
    </xf>
    <xf numFmtId="0" fontId="26" fillId="2" borderId="1" xfId="7" applyFont="1" applyFill="1" applyBorder="1" applyAlignment="1" applyProtection="1">
      <alignment horizontal="left" indent="1"/>
    </xf>
    <xf numFmtId="0" fontId="26" fillId="2" borderId="1" xfId="8" applyFont="1" applyFill="1" applyBorder="1" applyAlignment="1" applyProtection="1">
      <alignment horizontal="center"/>
    </xf>
    <xf numFmtId="0" fontId="26" fillId="2" borderId="1" xfId="5" applyFont="1" applyFill="1" applyBorder="1" applyAlignment="1" applyProtection="1">
      <alignment horizontal="left" indent="1"/>
    </xf>
    <xf numFmtId="0" fontId="26" fillId="2" borderId="1" xfId="5" applyFont="1" applyFill="1" applyBorder="1" applyAlignment="1" applyProtection="1">
      <alignment horizontal="center" shrinkToFit="1"/>
    </xf>
    <xf numFmtId="0" fontId="3" fillId="2" borderId="1" xfId="5" applyFont="1" applyFill="1" applyBorder="1" applyAlignment="1" applyProtection="1">
      <alignment horizontal="center"/>
    </xf>
    <xf numFmtId="0" fontId="6" fillId="2" borderId="1" xfId="5" applyFont="1" applyFill="1" applyBorder="1" applyAlignment="1" applyProtection="1">
      <alignment horizontal="center"/>
    </xf>
    <xf numFmtId="1" fontId="26" fillId="2" borderId="1" xfId="5" applyNumberFormat="1" applyFont="1" applyFill="1" applyBorder="1" applyAlignment="1" applyProtection="1">
      <alignment horizontal="center"/>
    </xf>
    <xf numFmtId="0" fontId="1" fillId="2" borderId="1" xfId="5" applyFont="1" applyFill="1" applyBorder="1" applyAlignment="1" applyProtection="1">
      <alignment horizontal="center"/>
    </xf>
    <xf numFmtId="0" fontId="26" fillId="2" borderId="1" xfId="5" applyFont="1" applyFill="1" applyBorder="1" applyAlignment="1" applyProtection="1">
      <alignment horizontal="center"/>
      <protection locked="0"/>
    </xf>
    <xf numFmtId="0" fontId="26" fillId="10" borderId="1" xfId="5" applyFont="1" applyFill="1" applyBorder="1" applyAlignment="1" applyProtection="1">
      <alignment horizontal="left" indent="1"/>
      <protection locked="0"/>
    </xf>
    <xf numFmtId="0" fontId="26" fillId="10" borderId="1" xfId="5" applyFont="1" applyFill="1" applyBorder="1" applyAlignment="1" applyProtection="1">
      <alignment horizontal="center"/>
      <protection locked="0"/>
    </xf>
    <xf numFmtId="0" fontId="26" fillId="5" borderId="1" xfId="6" applyFont="1" applyFill="1" applyBorder="1" applyAlignment="1" applyProtection="1">
      <alignment horizontal="center"/>
    </xf>
    <xf numFmtId="0" fontId="26" fillId="10" borderId="1" xfId="7" applyFont="1" applyFill="1" applyBorder="1" applyAlignment="1" applyProtection="1">
      <alignment horizontal="left" indent="1"/>
      <protection locked="0"/>
    </xf>
    <xf numFmtId="0" fontId="26" fillId="10" borderId="1" xfId="7" applyFont="1" applyFill="1" applyBorder="1" applyAlignment="1" applyProtection="1">
      <alignment horizontal="center"/>
      <protection locked="0"/>
    </xf>
    <xf numFmtId="0" fontId="61" fillId="0" borderId="0" xfId="0" applyFont="1" applyFill="1"/>
    <xf numFmtId="0" fontId="0" fillId="2" borderId="4"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4" fillId="2" borderId="0" xfId="0" applyFont="1" applyFill="1" applyBorder="1" applyAlignment="1">
      <alignment horizontal="right"/>
    </xf>
    <xf numFmtId="0" fontId="0" fillId="2" borderId="0" xfId="0" applyFont="1" applyFill="1" applyBorder="1"/>
    <xf numFmtId="0" fontId="70" fillId="2" borderId="9" xfId="0" applyFont="1" applyFill="1" applyBorder="1"/>
    <xf numFmtId="0" fontId="5" fillId="2" borderId="8" xfId="0" applyFont="1" applyFill="1" applyBorder="1"/>
    <xf numFmtId="0" fontId="0" fillId="2" borderId="8" xfId="0" applyFont="1" applyFill="1" applyBorder="1"/>
    <xf numFmtId="0" fontId="0" fillId="2" borderId="10" xfId="0" applyFont="1" applyFill="1" applyBorder="1"/>
    <xf numFmtId="0" fontId="0" fillId="2" borderId="11" xfId="0" applyFont="1" applyFill="1" applyBorder="1"/>
    <xf numFmtId="0" fontId="0" fillId="2" borderId="12" xfId="0" applyFont="1" applyFill="1" applyBorder="1"/>
    <xf numFmtId="169" fontId="0" fillId="2" borderId="0" xfId="0" applyNumberFormat="1" applyFont="1" applyFill="1" applyBorder="1" applyAlignment="1">
      <alignment horizontal="center"/>
    </xf>
    <xf numFmtId="169" fontId="7" fillId="2" borderId="0" xfId="0" applyNumberFormat="1" applyFont="1" applyFill="1" applyBorder="1" applyAlignment="1">
      <alignment horizontal="center"/>
    </xf>
    <xf numFmtId="0" fontId="7" fillId="2" borderId="11" xfId="0" applyFont="1" applyFill="1" applyBorder="1" applyAlignment="1">
      <alignment horizontal="center"/>
    </xf>
    <xf numFmtId="167" fontId="7" fillId="2" borderId="11" xfId="0" applyNumberFormat="1" applyFont="1" applyFill="1" applyBorder="1" applyAlignment="1">
      <alignment horizontal="center"/>
    </xf>
    <xf numFmtId="168" fontId="7" fillId="2" borderId="11" xfId="0" applyNumberFormat="1" applyFont="1" applyFill="1" applyBorder="1" applyAlignment="1">
      <alignment horizontal="center"/>
    </xf>
    <xf numFmtId="0" fontId="4" fillId="2" borderId="0" xfId="0" applyFont="1" applyFill="1" applyBorder="1" applyAlignment="1">
      <alignment horizontal="right" vertical="center"/>
    </xf>
    <xf numFmtId="3" fontId="70" fillId="2" borderId="0" xfId="0" applyNumberFormat="1" applyFont="1" applyFill="1" applyBorder="1" applyAlignment="1">
      <alignment horizontal="left" vertical="center"/>
    </xf>
    <xf numFmtId="0" fontId="71" fillId="2" borderId="0" xfId="0" applyFont="1" applyFill="1" applyBorder="1" applyAlignment="1">
      <alignment vertical="top" wrapText="1"/>
    </xf>
    <xf numFmtId="171" fontId="70" fillId="2" borderId="0" xfId="0" applyNumberFormat="1" applyFont="1" applyFill="1" applyBorder="1" applyAlignment="1">
      <alignment horizontal="left"/>
    </xf>
    <xf numFmtId="0" fontId="53" fillId="0" borderId="0" xfId="0" applyFont="1" applyFill="1" applyBorder="1" applyAlignment="1">
      <alignment vertical="center"/>
    </xf>
    <xf numFmtId="0" fontId="5" fillId="0" borderId="0" xfId="0" applyFont="1" applyFill="1" applyBorder="1" applyAlignment="1">
      <alignment horizontal="center"/>
    </xf>
    <xf numFmtId="0" fontId="35" fillId="0" borderId="0" xfId="0" applyFont="1" applyFill="1" applyBorder="1"/>
    <xf numFmtId="0" fontId="35" fillId="0" borderId="0" xfId="0" applyFont="1" applyFill="1"/>
    <xf numFmtId="0" fontId="35" fillId="0" borderId="0" xfId="0" applyFont="1" applyFill="1" applyAlignment="1">
      <alignment horizontal="center"/>
    </xf>
    <xf numFmtId="0" fontId="5" fillId="4" borderId="0" xfId="0" applyFont="1" applyFill="1"/>
    <xf numFmtId="0" fontId="5" fillId="12" borderId="86" xfId="0" applyFont="1" applyFill="1" applyBorder="1" applyAlignment="1">
      <alignment horizontal="center"/>
    </xf>
    <xf numFmtId="0" fontId="5" fillId="12" borderId="68" xfId="0" applyFont="1" applyFill="1" applyBorder="1" applyAlignment="1">
      <alignment horizontal="center"/>
    </xf>
    <xf numFmtId="0" fontId="5" fillId="12" borderId="70" xfId="0" applyFont="1" applyFill="1" applyBorder="1" applyAlignment="1">
      <alignment horizontal="center"/>
    </xf>
    <xf numFmtId="0" fontId="5" fillId="12" borderId="75" xfId="0" applyFont="1" applyFill="1" applyBorder="1" applyAlignment="1">
      <alignment horizontal="center"/>
    </xf>
    <xf numFmtId="0" fontId="5" fillId="12" borderId="74" xfId="0" applyFont="1" applyFill="1" applyBorder="1" applyAlignment="1">
      <alignment horizontal="center"/>
    </xf>
    <xf numFmtId="0" fontId="5" fillId="12" borderId="37" xfId="0" applyFont="1" applyFill="1" applyBorder="1" applyAlignment="1">
      <alignment horizontal="center"/>
    </xf>
    <xf numFmtId="0" fontId="5" fillId="12" borderId="29" xfId="0" applyFont="1" applyFill="1" applyBorder="1" applyAlignment="1">
      <alignment horizontal="center"/>
    </xf>
    <xf numFmtId="0" fontId="5" fillId="12" borderId="38" xfId="0" applyFont="1" applyFill="1" applyBorder="1" applyAlignment="1">
      <alignment horizontal="center"/>
    </xf>
    <xf numFmtId="0" fontId="5" fillId="12" borderId="42" xfId="0" applyFont="1" applyFill="1" applyBorder="1" applyAlignment="1">
      <alignment horizontal="center"/>
    </xf>
    <xf numFmtId="0" fontId="5" fillId="12" borderId="43" xfId="0" applyFont="1" applyFill="1" applyBorder="1" applyAlignment="1">
      <alignment horizontal="center"/>
    </xf>
    <xf numFmtId="0" fontId="5" fillId="12" borderId="1" xfId="0" applyFont="1" applyFill="1" applyBorder="1" applyAlignment="1">
      <alignment horizontal="center"/>
    </xf>
    <xf numFmtId="0" fontId="5" fillId="12" borderId="44" xfId="0" applyFont="1" applyFill="1" applyBorder="1" applyAlignment="1">
      <alignment horizontal="center"/>
    </xf>
    <xf numFmtId="0" fontId="35" fillId="2" borderId="77" xfId="0" applyFont="1" applyFill="1" applyBorder="1" applyAlignment="1">
      <alignment horizontal="left" indent="1"/>
    </xf>
    <xf numFmtId="3" fontId="35" fillId="2" borderId="43" xfId="0" applyNumberFormat="1" applyFont="1" applyFill="1" applyBorder="1" applyAlignment="1">
      <alignment horizontal="center"/>
    </xf>
    <xf numFmtId="2" fontId="35" fillId="2" borderId="44" xfId="0" applyNumberFormat="1" applyFont="1" applyFill="1" applyBorder="1" applyAlignment="1">
      <alignment horizontal="center"/>
    </xf>
    <xf numFmtId="3" fontId="35" fillId="2" borderId="36" xfId="0" applyNumberFormat="1" applyFont="1" applyFill="1" applyBorder="1" applyAlignment="1">
      <alignment horizontal="center"/>
    </xf>
    <xf numFmtId="2" fontId="35" fillId="2" borderId="34" xfId="0" applyNumberFormat="1" applyFont="1" applyFill="1" applyBorder="1" applyAlignment="1">
      <alignment horizontal="center"/>
    </xf>
    <xf numFmtId="170" fontId="35" fillId="2" borderId="43" xfId="0" applyNumberFormat="1" applyFont="1" applyFill="1" applyBorder="1" applyAlignment="1">
      <alignment horizontal="center"/>
    </xf>
    <xf numFmtId="170" fontId="35" fillId="2" borderId="44" xfId="0" applyNumberFormat="1" applyFont="1" applyFill="1" applyBorder="1" applyAlignment="1">
      <alignment horizontal="center"/>
    </xf>
    <xf numFmtId="170" fontId="35" fillId="2" borderId="36" xfId="0" applyNumberFormat="1" applyFont="1" applyFill="1" applyBorder="1" applyAlignment="1">
      <alignment horizontal="center"/>
    </xf>
    <xf numFmtId="3" fontId="68" fillId="2" borderId="43" xfId="0" applyNumberFormat="1" applyFont="1" applyFill="1" applyBorder="1" applyAlignment="1">
      <alignment horizontal="center"/>
    </xf>
    <xf numFmtId="2" fontId="68" fillId="2" borderId="44" xfId="0" applyNumberFormat="1" applyFont="1" applyFill="1" applyBorder="1" applyAlignment="1">
      <alignment horizontal="center"/>
    </xf>
    <xf numFmtId="3" fontId="68" fillId="2" borderId="36" xfId="0" applyNumberFormat="1" applyFont="1" applyFill="1" applyBorder="1" applyAlignment="1">
      <alignment horizontal="center"/>
    </xf>
    <xf numFmtId="2" fontId="68" fillId="2" borderId="34" xfId="0" applyNumberFormat="1" applyFont="1" applyFill="1" applyBorder="1" applyAlignment="1">
      <alignment horizontal="center"/>
    </xf>
    <xf numFmtId="170" fontId="68" fillId="2" borderId="43" xfId="0" applyNumberFormat="1" applyFont="1" applyFill="1" applyBorder="1" applyAlignment="1">
      <alignment horizontal="center"/>
    </xf>
    <xf numFmtId="170" fontId="68" fillId="2" borderId="44" xfId="0" applyNumberFormat="1" applyFont="1" applyFill="1" applyBorder="1" applyAlignment="1">
      <alignment horizontal="center"/>
    </xf>
    <xf numFmtId="170" fontId="68" fillId="2" borderId="36" xfId="0" applyNumberFormat="1" applyFont="1" applyFill="1" applyBorder="1" applyAlignment="1">
      <alignment horizontal="center"/>
    </xf>
    <xf numFmtId="0" fontId="35" fillId="2" borderId="78" xfId="0" applyFont="1" applyFill="1" applyBorder="1" applyAlignment="1">
      <alignment horizontal="left" indent="1"/>
    </xf>
    <xf numFmtId="2" fontId="35" fillId="2" borderId="81" xfId="0" applyNumberFormat="1" applyFont="1" applyFill="1" applyBorder="1" applyAlignment="1">
      <alignment horizontal="center"/>
    </xf>
    <xf numFmtId="2" fontId="35" fillId="2" borderId="45" xfId="0" applyNumberFormat="1" applyFont="1" applyFill="1" applyBorder="1" applyAlignment="1">
      <alignment horizontal="center"/>
    </xf>
    <xf numFmtId="170" fontId="35" fillId="2" borderId="73" xfId="0" applyNumberFormat="1" applyFont="1" applyFill="1" applyBorder="1" applyAlignment="1">
      <alignment horizontal="center"/>
    </xf>
    <xf numFmtId="0" fontId="35" fillId="2" borderId="79" xfId="0" applyFont="1" applyFill="1" applyBorder="1" applyAlignment="1">
      <alignment horizontal="left" indent="1"/>
    </xf>
    <xf numFmtId="3" fontId="35" fillId="2" borderId="51" xfId="0" applyNumberFormat="1" applyFont="1" applyFill="1" applyBorder="1" applyAlignment="1">
      <alignment horizontal="center"/>
    </xf>
    <xf numFmtId="2" fontId="35" fillId="2" borderId="52" xfId="0" applyNumberFormat="1" applyFont="1" applyFill="1" applyBorder="1" applyAlignment="1">
      <alignment horizontal="center"/>
    </xf>
    <xf numFmtId="3" fontId="35" fillId="2" borderId="71" xfId="0" applyNumberFormat="1" applyFont="1" applyFill="1" applyBorder="1" applyAlignment="1">
      <alignment horizontal="center"/>
    </xf>
    <xf numFmtId="2" fontId="35" fillId="2" borderId="72" xfId="0" applyNumberFormat="1" applyFont="1" applyFill="1" applyBorder="1" applyAlignment="1">
      <alignment horizontal="center"/>
    </xf>
    <xf numFmtId="170" fontId="35" fillId="2" borderId="51" xfId="0" applyNumberFormat="1" applyFont="1" applyFill="1" applyBorder="1" applyAlignment="1">
      <alignment horizontal="center"/>
    </xf>
    <xf numFmtId="170" fontId="35" fillId="2" borderId="52" xfId="0" applyNumberFormat="1" applyFont="1" applyFill="1" applyBorder="1" applyAlignment="1">
      <alignment horizontal="center"/>
    </xf>
    <xf numFmtId="170" fontId="35" fillId="2" borderId="71" xfId="0" applyNumberFormat="1" applyFont="1" applyFill="1" applyBorder="1" applyAlignment="1">
      <alignment horizontal="center"/>
    </xf>
    <xf numFmtId="0" fontId="35" fillId="2" borderId="43" xfId="0" applyFont="1" applyFill="1" applyBorder="1" applyAlignment="1">
      <alignment horizontal="left" indent="1"/>
    </xf>
    <xf numFmtId="0" fontId="35" fillId="2" borderId="51" xfId="0" applyFont="1" applyFill="1" applyBorder="1" applyAlignment="1">
      <alignment horizontal="left" indent="1"/>
    </xf>
    <xf numFmtId="2" fontId="35" fillId="2" borderId="1" xfId="0" applyNumberFormat="1" applyFont="1" applyFill="1" applyBorder="1" applyAlignment="1">
      <alignment horizontal="center"/>
    </xf>
    <xf numFmtId="2" fontId="35" fillId="2" borderId="30" xfId="0" applyNumberFormat="1" applyFont="1" applyFill="1" applyBorder="1" applyAlignment="1">
      <alignment horizontal="center"/>
    </xf>
    <xf numFmtId="0" fontId="35" fillId="2" borderId="1" xfId="0" applyFont="1" applyFill="1" applyBorder="1" applyAlignment="1">
      <alignment horizontal="center"/>
    </xf>
    <xf numFmtId="9" fontId="35" fillId="2" borderId="44" xfId="0" applyNumberFormat="1" applyFont="1" applyFill="1" applyBorder="1" applyAlignment="1">
      <alignment horizontal="center"/>
    </xf>
    <xf numFmtId="0" fontId="35" fillId="2" borderId="30" xfId="0" applyFont="1" applyFill="1" applyBorder="1" applyAlignment="1">
      <alignment horizontal="center"/>
    </xf>
    <xf numFmtId="9" fontId="35" fillId="2" borderId="52" xfId="0" applyNumberFormat="1" applyFont="1" applyFill="1" applyBorder="1" applyAlignment="1">
      <alignment horizontal="center"/>
    </xf>
    <xf numFmtId="0" fontId="0" fillId="2" borderId="86" xfId="0" applyNumberFormat="1" applyFill="1" applyBorder="1" applyAlignment="1">
      <alignment horizontal="center"/>
    </xf>
    <xf numFmtId="0" fontId="0" fillId="2" borderId="85" xfId="0" applyNumberFormat="1" applyFill="1" applyBorder="1" applyAlignment="1">
      <alignment horizontal="center"/>
    </xf>
    <xf numFmtId="0" fontId="0" fillId="2" borderId="77" xfId="0" applyFill="1" applyBorder="1" applyAlignment="1">
      <alignment horizontal="center"/>
    </xf>
    <xf numFmtId="0" fontId="0" fillId="2" borderId="79" xfId="0" applyFill="1" applyBorder="1" applyAlignment="1">
      <alignment horizontal="center"/>
    </xf>
    <xf numFmtId="9" fontId="35" fillId="2" borderId="1" xfId="1" applyFont="1" applyFill="1" applyBorder="1" applyAlignment="1">
      <alignment horizontal="center"/>
    </xf>
    <xf numFmtId="9" fontId="35" fillId="2" borderId="44" xfId="1" applyFont="1" applyFill="1" applyBorder="1" applyAlignment="1">
      <alignment horizontal="center"/>
    </xf>
    <xf numFmtId="9" fontId="35" fillId="2" borderId="30" xfId="1" applyFont="1" applyFill="1" applyBorder="1" applyAlignment="1">
      <alignment horizontal="center"/>
    </xf>
    <xf numFmtId="0" fontId="36" fillId="0" borderId="0" xfId="0" applyFont="1" applyFill="1" applyAlignment="1">
      <alignment horizontal="center"/>
    </xf>
    <xf numFmtId="0" fontId="35" fillId="2" borderId="48" xfId="0" applyFont="1" applyFill="1" applyBorder="1" applyAlignment="1">
      <alignment horizontal="center"/>
    </xf>
    <xf numFmtId="0" fontId="35" fillId="2" borderId="49" xfId="0" applyFont="1" applyFill="1" applyBorder="1" applyAlignment="1">
      <alignment horizontal="center"/>
    </xf>
    <xf numFmtId="0" fontId="35" fillId="2" borderId="21" xfId="0" applyFont="1" applyFill="1" applyBorder="1" applyAlignment="1">
      <alignment horizontal="left" indent="1"/>
    </xf>
    <xf numFmtId="0" fontId="35" fillId="2" borderId="35" xfId="0" applyFont="1" applyFill="1" applyBorder="1"/>
    <xf numFmtId="0" fontId="35" fillId="2" borderId="36" xfId="0" applyFont="1" applyFill="1" applyBorder="1"/>
    <xf numFmtId="0" fontId="35" fillId="2" borderId="44" xfId="0" applyFont="1" applyFill="1" applyBorder="1" applyAlignment="1">
      <alignment horizontal="center"/>
    </xf>
    <xf numFmtId="0" fontId="35" fillId="2" borderId="25" xfId="0" applyFont="1" applyFill="1" applyBorder="1" applyAlignment="1">
      <alignment horizontal="left" indent="1"/>
    </xf>
    <xf numFmtId="0" fontId="35" fillId="2" borderId="50" xfId="0" applyFont="1" applyFill="1" applyBorder="1"/>
    <xf numFmtId="0" fontId="35" fillId="2" borderId="71" xfId="0" applyFont="1" applyFill="1" applyBorder="1"/>
    <xf numFmtId="0" fontId="35" fillId="2" borderId="52" xfId="0" applyFont="1" applyFill="1" applyBorder="1" applyAlignment="1">
      <alignment horizontal="center"/>
    </xf>
    <xf numFmtId="3" fontId="5" fillId="6" borderId="36" xfId="0" applyNumberFormat="1" applyFont="1" applyFill="1" applyBorder="1" applyAlignment="1">
      <alignment horizontal="center"/>
    </xf>
    <xf numFmtId="3" fontId="0" fillId="5" borderId="36" xfId="0" applyNumberFormat="1" applyFont="1" applyFill="1" applyBorder="1" applyAlignment="1">
      <alignment horizontal="center"/>
    </xf>
    <xf numFmtId="3" fontId="0" fillId="5" borderId="71" xfId="0" applyNumberFormat="1" applyFont="1" applyFill="1" applyBorder="1" applyAlignment="1">
      <alignment horizontal="center"/>
    </xf>
    <xf numFmtId="3" fontId="70" fillId="2" borderId="9" xfId="0" applyNumberFormat="1" applyFont="1" applyFill="1" applyBorder="1" applyAlignment="1">
      <alignment horizontal="left"/>
    </xf>
    <xf numFmtId="0" fontId="68" fillId="2" borderId="21" xfId="0" applyFont="1" applyFill="1" applyBorder="1" applyAlignment="1">
      <alignment horizontal="left" indent="1"/>
    </xf>
    <xf numFmtId="0" fontId="68" fillId="2" borderId="35" xfId="0" applyFont="1" applyFill="1" applyBorder="1"/>
    <xf numFmtId="0" fontId="68" fillId="2" borderId="36" xfId="0" applyFont="1" applyFill="1" applyBorder="1"/>
    <xf numFmtId="0" fontId="68" fillId="2" borderId="44" xfId="0" applyFont="1" applyFill="1" applyBorder="1" applyAlignment="1">
      <alignment horizontal="center"/>
    </xf>
    <xf numFmtId="0" fontId="68" fillId="2" borderId="84" xfId="0" applyFont="1" applyFill="1" applyBorder="1" applyAlignment="1">
      <alignment horizontal="left" indent="1"/>
    </xf>
    <xf numFmtId="0" fontId="68" fillId="2" borderId="47" xfId="0" applyFont="1" applyFill="1" applyBorder="1" applyAlignment="1">
      <alignment horizontal="left" indent="1"/>
    </xf>
    <xf numFmtId="165" fontId="35" fillId="2" borderId="1" xfId="0" applyNumberFormat="1" applyFont="1" applyFill="1" applyBorder="1" applyAlignment="1">
      <alignment horizontal="center"/>
    </xf>
    <xf numFmtId="0" fontId="35" fillId="2" borderId="1" xfId="0" applyFont="1" applyFill="1" applyBorder="1" applyAlignment="1">
      <alignment horizontal="left" indent="1"/>
    </xf>
    <xf numFmtId="165" fontId="35" fillId="0" borderId="0" xfId="0" applyNumberFormat="1" applyFont="1" applyFill="1" applyBorder="1" applyAlignment="1"/>
    <xf numFmtId="0" fontId="0" fillId="0" borderId="0" xfId="0" applyFill="1" applyBorder="1"/>
    <xf numFmtId="165" fontId="35" fillId="5" borderId="1" xfId="0" applyNumberFormat="1" applyFont="1" applyFill="1" applyBorder="1" applyAlignment="1">
      <alignment horizontal="center"/>
    </xf>
    <xf numFmtId="1" fontId="35" fillId="13" borderId="43" xfId="0" applyNumberFormat="1" applyFont="1" applyFill="1" applyBorder="1" applyAlignment="1" applyProtection="1">
      <alignment horizontal="center"/>
    </xf>
    <xf numFmtId="1" fontId="35" fillId="13" borderId="44" xfId="0" applyNumberFormat="1" applyFont="1" applyFill="1" applyBorder="1" applyAlignment="1" applyProtection="1">
      <alignment horizontal="center"/>
    </xf>
    <xf numFmtId="1" fontId="35" fillId="13" borderId="51" xfId="0" applyNumberFormat="1" applyFont="1" applyFill="1" applyBorder="1" applyAlignment="1" applyProtection="1">
      <alignment horizontal="center"/>
    </xf>
    <xf numFmtId="1" fontId="35" fillId="13" borderId="52" xfId="0" applyNumberFormat="1" applyFont="1" applyFill="1" applyBorder="1" applyAlignment="1" applyProtection="1">
      <alignment horizontal="center"/>
    </xf>
    <xf numFmtId="2" fontId="52" fillId="8" borderId="99" xfId="0" applyNumberFormat="1" applyFont="1" applyFill="1" applyBorder="1" applyAlignment="1" applyProtection="1"/>
    <xf numFmtId="2" fontId="52" fillId="8" borderId="62" xfId="0" applyNumberFormat="1" applyFont="1" applyFill="1" applyBorder="1" applyAlignment="1" applyProtection="1"/>
    <xf numFmtId="2" fontId="52" fillId="8" borderId="94" xfId="0" applyNumberFormat="1" applyFont="1" applyFill="1" applyBorder="1" applyAlignment="1" applyProtection="1"/>
    <xf numFmtId="0" fontId="42" fillId="2" borderId="8" xfId="0" applyFont="1" applyFill="1" applyBorder="1" applyAlignment="1" applyProtection="1">
      <alignment horizontal="center" vertical="top" wrapText="1"/>
    </xf>
    <xf numFmtId="0" fontId="4" fillId="2" borderId="8" xfId="0" applyFont="1" applyFill="1" applyBorder="1" applyAlignment="1" applyProtection="1">
      <alignment horizontal="center"/>
    </xf>
    <xf numFmtId="165" fontId="45" fillId="2" borderId="8" xfId="0" applyNumberFormat="1" applyFont="1" applyFill="1" applyBorder="1" applyAlignment="1" applyProtection="1">
      <alignment horizontal="center"/>
    </xf>
    <xf numFmtId="165" fontId="35" fillId="2" borderId="8" xfId="0" applyNumberFormat="1" applyFont="1" applyFill="1" applyBorder="1" applyAlignment="1" applyProtection="1">
      <alignment horizontal="center"/>
    </xf>
    <xf numFmtId="0" fontId="52" fillId="8" borderId="104" xfId="0" applyFont="1" applyFill="1" applyBorder="1" applyAlignment="1" applyProtection="1">
      <alignment horizontal="center"/>
    </xf>
    <xf numFmtId="0" fontId="52" fillId="8" borderId="105" xfId="0" applyFont="1" applyFill="1" applyBorder="1" applyAlignment="1" applyProtection="1">
      <alignment horizontal="center"/>
    </xf>
    <xf numFmtId="0" fontId="52" fillId="8" borderId="106" xfId="0" applyFont="1" applyFill="1" applyBorder="1" applyAlignment="1" applyProtection="1">
      <alignment horizontal="center"/>
    </xf>
    <xf numFmtId="3" fontId="4" fillId="3" borderId="52" xfId="0" applyNumberFormat="1" applyFont="1" applyFill="1" applyBorder="1" applyAlignment="1" applyProtection="1">
      <alignment horizontal="center"/>
    </xf>
    <xf numFmtId="0" fontId="8" fillId="0" borderId="0" xfId="0" applyFont="1" applyFill="1" applyAlignment="1">
      <alignment horizontal="left" wrapText="1"/>
    </xf>
    <xf numFmtId="0" fontId="26" fillId="0" borderId="0" xfId="3" applyNumberFormat="1" applyFont="1" applyFill="1" applyAlignment="1" applyProtection="1">
      <alignment horizontal="left" vertical="top" wrapText="1"/>
    </xf>
    <xf numFmtId="0" fontId="8" fillId="0" borderId="0" xfId="0" applyFont="1" applyFill="1" applyAlignment="1">
      <alignment horizontal="left" vertical="top" wrapText="1"/>
    </xf>
    <xf numFmtId="0" fontId="14" fillId="0" borderId="0" xfId="2" applyFont="1" applyFill="1" applyAlignment="1">
      <alignment horizontal="left"/>
    </xf>
    <xf numFmtId="0" fontId="8" fillId="0" borderId="21" xfId="0" applyFont="1" applyFill="1" applyBorder="1" applyAlignment="1" applyProtection="1">
      <alignment horizontal="left"/>
    </xf>
    <xf numFmtId="0" fontId="8" fillId="0" borderId="22" xfId="0" applyFont="1" applyFill="1" applyBorder="1" applyAlignment="1" applyProtection="1">
      <alignment horizontal="left"/>
    </xf>
    <xf numFmtId="0" fontId="8" fillId="0" borderId="25" xfId="0" applyFont="1" applyFill="1" applyBorder="1" applyAlignment="1" applyProtection="1">
      <alignment horizontal="left"/>
    </xf>
    <xf numFmtId="0" fontId="8" fillId="0" borderId="26" xfId="0" applyFont="1" applyFill="1" applyBorder="1" applyAlignment="1" applyProtection="1">
      <alignment horizontal="left"/>
    </xf>
    <xf numFmtId="0" fontId="31" fillId="2" borderId="4" xfId="0" applyFont="1" applyFill="1" applyBorder="1" applyAlignment="1" applyProtection="1">
      <alignment horizontal="center"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0" xfId="0" applyFont="1" applyFill="1" applyBorder="1" applyAlignment="1" applyProtection="1">
      <alignment horizontal="center" vertical="center"/>
    </xf>
    <xf numFmtId="0" fontId="31" fillId="2" borderId="8" xfId="0" applyFont="1" applyFill="1" applyBorder="1" applyAlignment="1" applyProtection="1">
      <alignment horizontal="center" vertical="center"/>
    </xf>
    <xf numFmtId="0" fontId="32" fillId="2" borderId="0" xfId="0" applyFont="1" applyFill="1" applyBorder="1" applyAlignment="1" applyProtection="1">
      <alignment horizontal="left" vertical="top" wrapText="1"/>
    </xf>
    <xf numFmtId="0" fontId="32" fillId="2" borderId="8" xfId="0" applyFont="1" applyFill="1" applyBorder="1" applyAlignment="1" applyProtection="1">
      <alignment horizontal="left" vertical="top" wrapText="1"/>
    </xf>
    <xf numFmtId="0" fontId="11" fillId="4" borderId="13" xfId="0" applyFont="1" applyFill="1" applyBorder="1" applyAlignment="1" applyProtection="1">
      <alignment horizontal="center"/>
    </xf>
    <xf numFmtId="0" fontId="11" fillId="4" borderId="14" xfId="0" applyFont="1" applyFill="1" applyBorder="1" applyAlignment="1" applyProtection="1">
      <alignment horizontal="center"/>
    </xf>
    <xf numFmtId="0" fontId="8" fillId="0" borderId="17" xfId="0" applyFont="1" applyFill="1" applyBorder="1" applyAlignment="1" applyProtection="1">
      <alignment horizontal="left"/>
    </xf>
    <xf numFmtId="0" fontId="8" fillId="0" borderId="18" xfId="0" applyFont="1" applyFill="1" applyBorder="1" applyAlignment="1" applyProtection="1">
      <alignment horizontal="left"/>
    </xf>
    <xf numFmtId="165" fontId="35" fillId="5" borderId="1" xfId="0" applyNumberFormat="1" applyFont="1" applyFill="1" applyBorder="1" applyAlignment="1" applyProtection="1">
      <alignment horizontal="center"/>
    </xf>
    <xf numFmtId="3" fontId="35" fillId="5" borderId="1" xfId="0" applyNumberFormat="1" applyFont="1" applyFill="1" applyBorder="1" applyAlignment="1" applyProtection="1">
      <alignment horizontal="center"/>
    </xf>
    <xf numFmtId="1" fontId="51" fillId="8" borderId="55" xfId="0" applyNumberFormat="1" applyFont="1" applyFill="1" applyBorder="1" applyAlignment="1" applyProtection="1">
      <alignment horizontal="center"/>
    </xf>
    <xf numFmtId="1" fontId="51" fillId="8" borderId="91" xfId="0" applyNumberFormat="1" applyFont="1" applyFill="1" applyBorder="1" applyAlignment="1" applyProtection="1">
      <alignment horizontal="center"/>
    </xf>
    <xf numFmtId="1" fontId="51" fillId="8" borderId="87" xfId="0" applyNumberFormat="1" applyFont="1" applyFill="1" applyBorder="1" applyAlignment="1" applyProtection="1">
      <alignment horizontal="center"/>
    </xf>
    <xf numFmtId="1" fontId="51" fillId="8" borderId="58" xfId="0" applyNumberFormat="1" applyFont="1" applyFill="1" applyBorder="1" applyAlignment="1" applyProtection="1">
      <alignment horizontal="center"/>
    </xf>
    <xf numFmtId="1" fontId="51" fillId="8" borderId="92" xfId="0" applyNumberFormat="1" applyFont="1" applyFill="1" applyBorder="1" applyAlignment="1" applyProtection="1">
      <alignment horizontal="center"/>
    </xf>
    <xf numFmtId="1" fontId="51" fillId="8" borderId="89" xfId="0" applyNumberFormat="1" applyFont="1" applyFill="1" applyBorder="1" applyAlignment="1" applyProtection="1">
      <alignment horizontal="center"/>
    </xf>
    <xf numFmtId="0" fontId="51" fillId="8" borderId="58" xfId="0" applyFont="1" applyFill="1" applyBorder="1" applyAlignment="1" applyProtection="1">
      <alignment horizontal="center"/>
    </xf>
    <xf numFmtId="0" fontId="51" fillId="8" borderId="92" xfId="0" applyFont="1" applyFill="1" applyBorder="1" applyAlignment="1" applyProtection="1">
      <alignment horizontal="center"/>
    </xf>
    <xf numFmtId="0" fontId="51" fillId="8" borderId="89" xfId="0" applyFont="1" applyFill="1" applyBorder="1" applyAlignment="1" applyProtection="1">
      <alignment horizontal="center"/>
    </xf>
    <xf numFmtId="0" fontId="4" fillId="2" borderId="0" xfId="0" applyFont="1" applyFill="1" applyBorder="1" applyAlignment="1" applyProtection="1">
      <alignment horizontal="center" wrapText="1"/>
    </xf>
    <xf numFmtId="0" fontId="4" fillId="2" borderId="9" xfId="0" applyFont="1" applyFill="1" applyBorder="1" applyAlignment="1" applyProtection="1">
      <alignment horizontal="center" wrapText="1"/>
    </xf>
    <xf numFmtId="3" fontId="35" fillId="10" borderId="34" xfId="0" applyNumberFormat="1" applyFont="1" applyFill="1" applyBorder="1" applyAlignment="1" applyProtection="1">
      <alignment horizontal="center"/>
      <protection locked="0"/>
    </xf>
    <xf numFmtId="3" fontId="35" fillId="10" borderId="36" xfId="0" applyNumberFormat="1" applyFont="1" applyFill="1" applyBorder="1" applyAlignment="1" applyProtection="1">
      <alignment horizontal="center"/>
      <protection locked="0"/>
    </xf>
    <xf numFmtId="0" fontId="52" fillId="8" borderId="61" xfId="0" applyFont="1" applyFill="1" applyBorder="1" applyAlignment="1" applyProtection="1">
      <alignment horizontal="center"/>
    </xf>
    <xf numFmtId="0" fontId="52" fillId="8" borderId="99" xfId="0" applyFont="1" applyFill="1" applyBorder="1" applyAlignment="1" applyProtection="1">
      <alignment horizontal="center"/>
    </xf>
    <xf numFmtId="0" fontId="52" fillId="8" borderId="90" xfId="0" applyFont="1" applyFill="1" applyBorder="1" applyAlignment="1" applyProtection="1">
      <alignment horizontal="center"/>
    </xf>
    <xf numFmtId="0" fontId="4" fillId="2" borderId="9" xfId="0" applyFont="1" applyFill="1" applyBorder="1" applyAlignment="1" applyProtection="1">
      <alignment horizontal="center"/>
    </xf>
    <xf numFmtId="0" fontId="51" fillId="8" borderId="100" xfId="0" applyFont="1" applyFill="1" applyBorder="1" applyAlignment="1" applyProtection="1">
      <alignment horizontal="center" vertical="center" textRotation="90"/>
    </xf>
    <xf numFmtId="0" fontId="51" fillId="8" borderId="101" xfId="0" applyFont="1" applyFill="1" applyBorder="1" applyAlignment="1" applyProtection="1">
      <alignment horizontal="center" vertical="center" textRotation="90"/>
    </xf>
    <xf numFmtId="0" fontId="51" fillId="8" borderId="102" xfId="0" applyFont="1" applyFill="1" applyBorder="1" applyAlignment="1" applyProtection="1">
      <alignment horizontal="center" vertical="center" textRotation="90"/>
    </xf>
    <xf numFmtId="0" fontId="50" fillId="8" borderId="107" xfId="0" applyFont="1" applyFill="1" applyBorder="1" applyAlignment="1" applyProtection="1">
      <alignment horizontal="center"/>
    </xf>
    <xf numFmtId="0" fontId="50" fillId="8" borderId="103" xfId="0" applyFont="1" applyFill="1" applyBorder="1" applyAlignment="1" applyProtection="1">
      <alignment horizontal="center"/>
    </xf>
    <xf numFmtId="0" fontId="50" fillId="8" borderId="108" xfId="0" applyFont="1" applyFill="1" applyBorder="1" applyAlignment="1" applyProtection="1">
      <alignment horizontal="center"/>
    </xf>
    <xf numFmtId="0" fontId="0" fillId="8" borderId="53" xfId="0" applyFill="1" applyBorder="1" applyAlignment="1" applyProtection="1">
      <alignment horizontal="center"/>
    </xf>
    <xf numFmtId="0" fontId="0" fillId="8" borderId="0" xfId="0" applyFill="1" applyBorder="1" applyAlignment="1" applyProtection="1">
      <alignment horizontal="center"/>
    </xf>
    <xf numFmtId="4" fontId="47" fillId="5" borderId="50" xfId="0" applyNumberFormat="1" applyFont="1" applyFill="1" applyBorder="1" applyAlignment="1" applyProtection="1">
      <alignment horizontal="center"/>
    </xf>
    <xf numFmtId="4" fontId="47" fillId="5" borderId="49" xfId="0" applyNumberFormat="1" applyFont="1" applyFill="1" applyBorder="1" applyAlignment="1" applyProtection="1">
      <alignment horizontal="center"/>
    </xf>
    <xf numFmtId="4" fontId="47" fillId="5" borderId="25" xfId="0" applyNumberFormat="1" applyFont="1" applyFill="1" applyBorder="1" applyAlignment="1" applyProtection="1">
      <alignment horizontal="center"/>
    </xf>
    <xf numFmtId="3" fontId="47" fillId="5" borderId="82" xfId="0" applyNumberFormat="1" applyFont="1" applyFill="1" applyBorder="1" applyAlignment="1" applyProtection="1">
      <alignment horizontal="center"/>
    </xf>
    <xf numFmtId="3" fontId="47" fillId="5" borderId="9" xfId="0" applyNumberFormat="1" applyFont="1" applyFill="1" applyBorder="1" applyAlignment="1" applyProtection="1">
      <alignment horizontal="center"/>
    </xf>
    <xf numFmtId="3" fontId="47" fillId="5" borderId="83" xfId="0" applyNumberFormat="1" applyFont="1" applyFill="1" applyBorder="1" applyAlignment="1" applyProtection="1">
      <alignment horizontal="center"/>
    </xf>
    <xf numFmtId="0" fontId="40" fillId="4" borderId="4" xfId="0" applyFont="1" applyFill="1" applyBorder="1" applyAlignment="1" applyProtection="1">
      <alignment horizontal="center" vertical="center"/>
    </xf>
    <xf numFmtId="0" fontId="40" fillId="4" borderId="5" xfId="0" applyFont="1" applyFill="1" applyBorder="1" applyAlignment="1" applyProtection="1">
      <alignment horizontal="center" vertical="center"/>
    </xf>
    <xf numFmtId="0" fontId="40" fillId="4" borderId="6" xfId="0" applyFont="1" applyFill="1" applyBorder="1" applyAlignment="1" applyProtection="1">
      <alignment horizontal="center" vertical="center"/>
    </xf>
    <xf numFmtId="0" fontId="40" fillId="4" borderId="10" xfId="0" applyFont="1" applyFill="1" applyBorder="1" applyAlignment="1" applyProtection="1">
      <alignment horizontal="center" vertical="center"/>
    </xf>
    <xf numFmtId="0" fontId="40" fillId="4" borderId="11" xfId="0" applyFont="1" applyFill="1" applyBorder="1" applyAlignment="1" applyProtection="1">
      <alignment horizontal="center" vertical="center"/>
    </xf>
    <xf numFmtId="0" fontId="40" fillId="4" borderId="12" xfId="0" applyFont="1" applyFill="1" applyBorder="1" applyAlignment="1" applyProtection="1">
      <alignment horizontal="center" vertical="center"/>
    </xf>
    <xf numFmtId="0" fontId="42" fillId="2" borderId="0" xfId="0" applyFont="1" applyFill="1" applyBorder="1" applyAlignment="1" applyProtection="1">
      <alignment horizontal="center" vertical="top" wrapText="1"/>
    </xf>
    <xf numFmtId="0" fontId="0" fillId="2" borderId="34" xfId="0" applyFont="1" applyFill="1" applyBorder="1" applyAlignment="1" applyProtection="1">
      <alignment horizontal="center"/>
    </xf>
    <xf numFmtId="0" fontId="0" fillId="2" borderId="48" xfId="0" applyFont="1" applyFill="1" applyBorder="1" applyAlignment="1" applyProtection="1">
      <alignment horizontal="center"/>
    </xf>
    <xf numFmtId="165" fontId="35" fillId="10" borderId="34" xfId="0" applyNumberFormat="1" applyFont="1" applyFill="1" applyBorder="1" applyAlignment="1" applyProtection="1">
      <alignment horizontal="center"/>
      <protection locked="0"/>
    </xf>
    <xf numFmtId="165" fontId="35" fillId="10" borderId="48" xfId="0" applyNumberFormat="1" applyFont="1" applyFill="1" applyBorder="1" applyAlignment="1" applyProtection="1">
      <alignment horizontal="center"/>
      <protection locked="0"/>
    </xf>
    <xf numFmtId="0" fontId="0" fillId="2" borderId="21" xfId="0" applyFont="1" applyFill="1" applyBorder="1" applyAlignment="1" applyProtection="1">
      <alignment horizontal="center"/>
    </xf>
    <xf numFmtId="0" fontId="0" fillId="2" borderId="36" xfId="0" applyFont="1" applyFill="1" applyBorder="1" applyAlignment="1" applyProtection="1">
      <alignment horizontal="center"/>
    </xf>
    <xf numFmtId="165" fontId="35" fillId="10" borderId="21" xfId="0" applyNumberFormat="1" applyFont="1" applyFill="1" applyBorder="1" applyAlignment="1" applyProtection="1">
      <alignment horizontal="center"/>
      <protection locked="0"/>
    </xf>
    <xf numFmtId="165" fontId="35" fillId="10" borderId="36" xfId="0" applyNumberFormat="1" applyFont="1" applyFill="1" applyBorder="1" applyAlignment="1" applyProtection="1">
      <alignment horizontal="center"/>
      <protection locked="0"/>
    </xf>
    <xf numFmtId="3" fontId="35" fillId="10" borderId="1" xfId="0" applyNumberFormat="1" applyFont="1" applyFill="1" applyBorder="1" applyAlignment="1" applyProtection="1">
      <alignment horizontal="center"/>
      <protection locked="0"/>
    </xf>
    <xf numFmtId="165" fontId="45" fillId="6" borderId="34" xfId="0" applyNumberFormat="1" applyFont="1" applyFill="1" applyBorder="1" applyAlignment="1" applyProtection="1">
      <alignment horizontal="center"/>
    </xf>
    <xf numFmtId="165" fontId="45" fillId="6" borderId="35" xfId="0" applyNumberFormat="1" applyFont="1" applyFill="1" applyBorder="1" applyAlignment="1" applyProtection="1">
      <alignment horizontal="center"/>
    </xf>
    <xf numFmtId="165" fontId="45" fillId="6" borderId="36" xfId="0" applyNumberFormat="1" applyFont="1" applyFill="1" applyBorder="1" applyAlignment="1" applyProtection="1">
      <alignment horizontal="center"/>
    </xf>
    <xf numFmtId="3" fontId="45" fillId="6" borderId="1" xfId="0" applyNumberFormat="1" applyFont="1" applyFill="1" applyBorder="1" applyAlignment="1" applyProtection="1">
      <alignment horizontal="center"/>
    </xf>
    <xf numFmtId="0" fontId="4" fillId="2" borderId="0" xfId="0" applyFont="1" applyFill="1" applyBorder="1" applyAlignment="1" applyProtection="1">
      <alignment horizontal="center"/>
    </xf>
    <xf numFmtId="0" fontId="35" fillId="10" borderId="1" xfId="0" applyFont="1" applyFill="1" applyBorder="1" applyAlignment="1" applyProtection="1">
      <alignment horizontal="left" indent="1"/>
      <protection locked="0"/>
    </xf>
    <xf numFmtId="0" fontId="35" fillId="10" borderId="1" xfId="0" applyFont="1" applyFill="1" applyBorder="1" applyAlignment="1" applyProtection="1">
      <alignment horizontal="center"/>
      <protection locked="0"/>
    </xf>
    <xf numFmtId="0" fontId="35" fillId="10" borderId="34" xfId="0" applyFont="1" applyFill="1" applyBorder="1" applyAlignment="1" applyProtection="1">
      <alignment horizontal="center"/>
      <protection locked="0"/>
    </xf>
    <xf numFmtId="0" fontId="35" fillId="10" borderId="35" xfId="0" applyFont="1" applyFill="1" applyBorder="1" applyAlignment="1" applyProtection="1">
      <alignment horizontal="center"/>
      <protection locked="0"/>
    </xf>
    <xf numFmtId="0" fontId="35" fillId="10" borderId="36" xfId="0" applyFont="1" applyFill="1" applyBorder="1" applyAlignment="1" applyProtection="1">
      <alignment horizontal="center"/>
      <protection locked="0"/>
    </xf>
    <xf numFmtId="0" fontId="34" fillId="2" borderId="5" xfId="0" applyFont="1" applyFill="1" applyBorder="1" applyAlignment="1" applyProtection="1">
      <alignment horizontal="right" vertical="center" indent="1"/>
    </xf>
    <xf numFmtId="0" fontId="34" fillId="2" borderId="11" xfId="0" applyFont="1" applyFill="1" applyBorder="1" applyAlignment="1" applyProtection="1">
      <alignment horizontal="right" vertical="center" indent="1"/>
    </xf>
    <xf numFmtId="0" fontId="35" fillId="10" borderId="29" xfId="0" applyFont="1" applyFill="1" applyBorder="1" applyAlignment="1" applyProtection="1">
      <alignment horizontal="center"/>
    </xf>
    <xf numFmtId="0" fontId="36" fillId="6" borderId="29" xfId="0" applyFont="1" applyFill="1" applyBorder="1" applyAlignment="1" applyProtection="1">
      <alignment horizontal="center"/>
    </xf>
    <xf numFmtId="0" fontId="37" fillId="7" borderId="29" xfId="0" applyFont="1" applyFill="1" applyBorder="1" applyAlignment="1" applyProtection="1">
      <alignment horizontal="center" vertical="center" wrapText="1"/>
    </xf>
    <xf numFmtId="0" fontId="37" fillId="7" borderId="30" xfId="0" applyFont="1" applyFill="1" applyBorder="1" applyAlignment="1" applyProtection="1">
      <alignment horizontal="center" vertical="center" wrapText="1"/>
    </xf>
    <xf numFmtId="0" fontId="35" fillId="5" borderId="30" xfId="0" applyFont="1" applyFill="1" applyBorder="1" applyAlignment="1" applyProtection="1">
      <alignment horizontal="center"/>
    </xf>
    <xf numFmtId="0" fontId="38" fillId="8" borderId="30" xfId="0" applyFont="1" applyFill="1" applyBorder="1" applyAlignment="1" applyProtection="1">
      <alignment horizontal="center"/>
    </xf>
    <xf numFmtId="0" fontId="35" fillId="10" borderId="31" xfId="0" applyFont="1" applyFill="1" applyBorder="1" applyAlignment="1" applyProtection="1">
      <alignment horizontal="left"/>
      <protection locked="0"/>
    </xf>
    <xf numFmtId="0" fontId="35" fillId="10" borderId="32" xfId="0" applyFont="1" applyFill="1" applyBorder="1" applyAlignment="1" applyProtection="1">
      <alignment horizontal="left"/>
      <protection locked="0"/>
    </xf>
    <xf numFmtId="0" fontId="42" fillId="2" borderId="0" xfId="0" applyFont="1" applyFill="1" applyBorder="1" applyAlignment="1" applyProtection="1">
      <alignment horizontal="center" vertical="top"/>
    </xf>
    <xf numFmtId="0" fontId="47" fillId="10" borderId="39" xfId="0" quotePrefix="1" applyFont="1" applyFill="1" applyBorder="1" applyAlignment="1" applyProtection="1">
      <alignment horizontal="center"/>
      <protection locked="0"/>
    </xf>
    <xf numFmtId="0" fontId="47" fillId="10" borderId="40" xfId="0" applyFont="1" applyFill="1" applyBorder="1" applyAlignment="1" applyProtection="1">
      <alignment horizontal="center"/>
      <protection locked="0"/>
    </xf>
    <xf numFmtId="0" fontId="47" fillId="10" borderId="37" xfId="0" quotePrefix="1" applyFont="1" applyFill="1" applyBorder="1" applyAlignment="1" applyProtection="1">
      <alignment horizontal="center"/>
      <protection locked="0"/>
    </xf>
    <xf numFmtId="0" fontId="47" fillId="10" borderId="38" xfId="0" applyFont="1" applyFill="1" applyBorder="1" applyAlignment="1" applyProtection="1">
      <alignment horizontal="center"/>
      <protection locked="0"/>
    </xf>
    <xf numFmtId="0" fontId="4" fillId="2" borderId="37" xfId="0" applyFont="1" applyFill="1" applyBorder="1" applyAlignment="1" applyProtection="1">
      <alignment horizontal="center"/>
    </xf>
    <xf numFmtId="0" fontId="4" fillId="2" borderId="38" xfId="0" applyFont="1" applyFill="1" applyBorder="1" applyAlignment="1" applyProtection="1">
      <alignment horizontal="center"/>
    </xf>
    <xf numFmtId="0" fontId="47" fillId="10" borderId="17" xfId="0" quotePrefix="1" applyFont="1" applyFill="1" applyBorder="1" applyAlignment="1" applyProtection="1">
      <alignment horizontal="center"/>
      <protection locked="0"/>
    </xf>
    <xf numFmtId="0" fontId="47" fillId="10" borderId="42" xfId="0" quotePrefix="1" applyFont="1" applyFill="1" applyBorder="1" applyAlignment="1" applyProtection="1">
      <alignment horizontal="center"/>
      <protection locked="0"/>
    </xf>
    <xf numFmtId="0" fontId="47" fillId="10" borderId="17" xfId="0" applyFont="1" applyFill="1" applyBorder="1" applyAlignment="1" applyProtection="1">
      <alignment horizontal="center"/>
      <protection locked="0"/>
    </xf>
    <xf numFmtId="0" fontId="47" fillId="10" borderId="41" xfId="0" applyFont="1" applyFill="1" applyBorder="1" applyAlignment="1" applyProtection="1">
      <alignment horizontal="center"/>
      <protection locked="0"/>
    </xf>
    <xf numFmtId="0" fontId="47" fillId="10" borderId="42" xfId="0" applyFont="1" applyFill="1" applyBorder="1" applyAlignment="1" applyProtection="1">
      <alignment horizontal="center"/>
      <protection locked="0"/>
    </xf>
    <xf numFmtId="0" fontId="47" fillId="10" borderId="41" xfId="0" quotePrefix="1" applyFont="1" applyFill="1" applyBorder="1" applyAlignment="1" applyProtection="1">
      <alignment horizontal="center"/>
      <protection locked="0"/>
    </xf>
    <xf numFmtId="0" fontId="46" fillId="6" borderId="37" xfId="0" applyFont="1" applyFill="1" applyBorder="1" applyAlignment="1" applyProtection="1">
      <alignment horizontal="center"/>
    </xf>
    <xf numFmtId="0" fontId="46" fillId="6" borderId="40" xfId="0" applyFont="1" applyFill="1" applyBorder="1" applyAlignment="1" applyProtection="1">
      <alignment horizontal="center"/>
    </xf>
    <xf numFmtId="3" fontId="47" fillId="5" borderId="17" xfId="0" applyNumberFormat="1" applyFont="1" applyFill="1" applyBorder="1" applyAlignment="1" applyProtection="1">
      <alignment horizontal="center"/>
    </xf>
    <xf numFmtId="3" fontId="47" fillId="5" borderId="42" xfId="0" applyNumberFormat="1" applyFont="1" applyFill="1" applyBorder="1" applyAlignment="1" applyProtection="1">
      <alignment horizontal="center"/>
    </xf>
    <xf numFmtId="3" fontId="35" fillId="10" borderId="31" xfId="0" applyNumberFormat="1" applyFont="1" applyFill="1" applyBorder="1" applyAlignment="1" applyProtection="1">
      <alignment horizontal="left"/>
      <protection locked="0"/>
    </xf>
    <xf numFmtId="49" fontId="35" fillId="10" borderId="31" xfId="0" applyNumberFormat="1" applyFont="1" applyFill="1" applyBorder="1" applyAlignment="1" applyProtection="1">
      <alignment horizontal="left"/>
      <protection locked="0"/>
    </xf>
    <xf numFmtId="14" fontId="35" fillId="10" borderId="32" xfId="0" applyNumberFormat="1" applyFont="1" applyFill="1" applyBorder="1" applyAlignment="1" applyProtection="1">
      <alignment horizontal="left"/>
      <protection locked="0"/>
    </xf>
    <xf numFmtId="0" fontId="45" fillId="6" borderId="1" xfId="0" applyFont="1" applyFill="1" applyBorder="1" applyAlignment="1" applyProtection="1">
      <alignment horizontal="center"/>
    </xf>
    <xf numFmtId="0" fontId="35" fillId="10" borderId="9" xfId="0" applyFont="1" applyFill="1" applyBorder="1" applyAlignment="1" applyProtection="1">
      <alignment horizontal="left"/>
      <protection locked="0"/>
    </xf>
    <xf numFmtId="0" fontId="45" fillId="6" borderId="1" xfId="0" applyFont="1" applyFill="1" applyBorder="1" applyAlignment="1" applyProtection="1">
      <alignment horizontal="left" indent="1"/>
    </xf>
    <xf numFmtId="4" fontId="49" fillId="6" borderId="25" xfId="0" applyNumberFormat="1" applyFont="1" applyFill="1" applyBorder="1" applyAlignment="1" applyProtection="1">
      <alignment horizontal="center"/>
    </xf>
    <xf numFmtId="4" fontId="49" fillId="6" borderId="50" xfId="0" applyNumberFormat="1" applyFont="1" applyFill="1" applyBorder="1" applyAlignment="1" applyProtection="1">
      <alignment horizontal="center"/>
    </xf>
    <xf numFmtId="3" fontId="49" fillId="6" borderId="82" xfId="0" applyNumberFormat="1" applyFont="1" applyFill="1" applyBorder="1" applyAlignment="1" applyProtection="1">
      <alignment horizontal="center"/>
    </xf>
    <xf numFmtId="3" fontId="49" fillId="6" borderId="83" xfId="0" applyNumberFormat="1" applyFont="1" applyFill="1" applyBorder="1" applyAlignment="1" applyProtection="1">
      <alignment horizontal="center"/>
    </xf>
    <xf numFmtId="3" fontId="35" fillId="5" borderId="9" xfId="0" applyNumberFormat="1" applyFont="1" applyFill="1" applyBorder="1" applyAlignment="1" applyProtection="1">
      <alignment horizontal="center"/>
    </xf>
    <xf numFmtId="0" fontId="4" fillId="2" borderId="33" xfId="0" applyFont="1" applyFill="1" applyBorder="1" applyAlignment="1" applyProtection="1">
      <alignment horizontal="right"/>
    </xf>
    <xf numFmtId="0" fontId="4" fillId="2" borderId="0" xfId="0" applyFont="1" applyFill="1" applyBorder="1" applyAlignment="1" applyProtection="1">
      <alignment horizontal="right"/>
    </xf>
    <xf numFmtId="3" fontId="49" fillId="6" borderId="21" xfId="0" applyNumberFormat="1" applyFont="1" applyFill="1" applyBorder="1" applyAlignment="1" applyProtection="1">
      <alignment horizontal="center"/>
    </xf>
    <xf numFmtId="3" fontId="49" fillId="6" borderId="35" xfId="0" applyNumberFormat="1" applyFont="1" applyFill="1" applyBorder="1" applyAlignment="1" applyProtection="1">
      <alignment horizontal="center"/>
    </xf>
    <xf numFmtId="3" fontId="49" fillId="6" borderId="25" xfId="0" applyNumberFormat="1" applyFont="1" applyFill="1" applyBorder="1" applyAlignment="1" applyProtection="1">
      <alignment horizontal="center"/>
    </xf>
    <xf numFmtId="3" fontId="49" fillId="6" borderId="50" xfId="0" applyNumberFormat="1" applyFont="1" applyFill="1" applyBorder="1" applyAlignment="1" applyProtection="1">
      <alignment horizontal="center"/>
    </xf>
    <xf numFmtId="1" fontId="35" fillId="10" borderId="21" xfId="0" applyNumberFormat="1" applyFont="1" applyFill="1" applyBorder="1" applyAlignment="1" applyProtection="1">
      <alignment horizontal="center"/>
      <protection locked="0"/>
    </xf>
    <xf numFmtId="1" fontId="35" fillId="10" borderId="48" xfId="0" applyNumberFormat="1" applyFont="1" applyFill="1" applyBorder="1" applyAlignment="1" applyProtection="1">
      <alignment horizontal="center"/>
      <protection locked="0"/>
    </xf>
    <xf numFmtId="1" fontId="35" fillId="10" borderId="25" xfId="0" applyNumberFormat="1" applyFont="1" applyFill="1" applyBorder="1" applyAlignment="1" applyProtection="1">
      <alignment horizontal="center"/>
      <protection locked="0"/>
    </xf>
    <xf numFmtId="1" fontId="35" fillId="10" borderId="49" xfId="0" applyNumberFormat="1" applyFont="1" applyFill="1" applyBorder="1" applyAlignment="1" applyProtection="1">
      <alignment horizontal="center"/>
      <protection locked="0"/>
    </xf>
    <xf numFmtId="166" fontId="35" fillId="10" borderId="32" xfId="0" applyNumberFormat="1" applyFont="1" applyFill="1" applyBorder="1" applyAlignment="1" applyProtection="1">
      <alignment horizontal="left"/>
      <protection locked="0"/>
    </xf>
    <xf numFmtId="49" fontId="35" fillId="10" borderId="32" xfId="0" applyNumberFormat="1" applyFont="1" applyFill="1" applyBorder="1" applyAlignment="1" applyProtection="1">
      <alignment horizontal="left"/>
      <protection locked="0"/>
    </xf>
    <xf numFmtId="0" fontId="42" fillId="2" borderId="0" xfId="0"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1" fontId="35" fillId="10" borderId="35" xfId="0" applyNumberFormat="1" applyFont="1" applyFill="1" applyBorder="1" applyAlignment="1" applyProtection="1">
      <alignment horizontal="center"/>
      <protection locked="0"/>
    </xf>
    <xf numFmtId="1" fontId="35" fillId="10" borderId="50" xfId="0" applyNumberFormat="1" applyFont="1" applyFill="1" applyBorder="1" applyAlignment="1" applyProtection="1">
      <alignment horizontal="center"/>
      <protection locked="0"/>
    </xf>
    <xf numFmtId="0" fontId="59" fillId="0" borderId="13" xfId="0" applyFont="1" applyFill="1" applyBorder="1" applyAlignment="1" applyProtection="1">
      <alignment horizontal="center" vertical="center"/>
    </xf>
    <xf numFmtId="0" fontId="59" fillId="0" borderId="66" xfId="0" applyFont="1" applyFill="1" applyBorder="1" applyAlignment="1" applyProtection="1">
      <alignment horizontal="center" vertical="center"/>
    </xf>
    <xf numFmtId="0" fontId="59" fillId="0" borderId="67" xfId="0" applyFont="1" applyFill="1" applyBorder="1" applyAlignment="1" applyProtection="1">
      <alignment horizontal="center" vertical="center"/>
    </xf>
    <xf numFmtId="0" fontId="74" fillId="4" borderId="13" xfId="0" applyFont="1" applyFill="1" applyBorder="1" applyAlignment="1">
      <alignment horizontal="center"/>
    </xf>
    <xf numFmtId="0" fontId="74" fillId="4" borderId="66" xfId="0" applyFont="1" applyFill="1" applyBorder="1" applyAlignment="1">
      <alignment horizontal="center"/>
    </xf>
    <xf numFmtId="0" fontId="74" fillId="4" borderId="67" xfId="0" applyFont="1" applyFill="1" applyBorder="1" applyAlignment="1">
      <alignment horizontal="center"/>
    </xf>
    <xf numFmtId="0" fontId="46" fillId="4" borderId="95" xfId="0" applyFont="1" applyFill="1" applyBorder="1" applyAlignment="1">
      <alignment horizontal="center"/>
    </xf>
    <xf numFmtId="0" fontId="46" fillId="4" borderId="96" xfId="0" applyFont="1" applyFill="1" applyBorder="1" applyAlignment="1">
      <alignment horizontal="center"/>
    </xf>
    <xf numFmtId="0" fontId="46" fillId="4" borderId="97" xfId="0" applyFont="1" applyFill="1" applyBorder="1" applyAlignment="1">
      <alignment horizontal="center"/>
    </xf>
    <xf numFmtId="0" fontId="46" fillId="4" borderId="98" xfId="0" applyFont="1" applyFill="1" applyBorder="1" applyAlignment="1">
      <alignment horizontal="center"/>
    </xf>
    <xf numFmtId="0" fontId="46" fillId="4" borderId="4" xfId="0" applyFont="1" applyFill="1" applyBorder="1" applyAlignment="1">
      <alignment horizontal="center"/>
    </xf>
    <xf numFmtId="0" fontId="46" fillId="4" borderId="5" xfId="0" applyFont="1" applyFill="1" applyBorder="1" applyAlignment="1">
      <alignment horizontal="center"/>
    </xf>
    <xf numFmtId="0" fontId="46" fillId="4" borderId="6" xfId="0" applyFont="1" applyFill="1" applyBorder="1" applyAlignment="1">
      <alignment horizontal="center"/>
    </xf>
    <xf numFmtId="0" fontId="54" fillId="3" borderId="4" xfId="0" applyFont="1" applyFill="1" applyBorder="1" applyAlignment="1" applyProtection="1">
      <alignment horizontal="center" vertical="center" wrapText="1"/>
    </xf>
    <xf numFmtId="0" fontId="54" fillId="3" borderId="6" xfId="0" applyFont="1" applyFill="1" applyBorder="1" applyAlignment="1" applyProtection="1">
      <alignment horizontal="center" vertical="center" wrapText="1"/>
    </xf>
    <xf numFmtId="0" fontId="54" fillId="3" borderId="7" xfId="0" applyFont="1" applyFill="1" applyBorder="1" applyAlignment="1" applyProtection="1">
      <alignment horizontal="center" vertical="center" wrapText="1"/>
    </xf>
    <xf numFmtId="0" fontId="54" fillId="3" borderId="8" xfId="0" applyFont="1" applyFill="1" applyBorder="1" applyAlignment="1" applyProtection="1">
      <alignment horizontal="center" vertical="center" wrapText="1"/>
    </xf>
    <xf numFmtId="0" fontId="54" fillId="3" borderId="10" xfId="0" applyFont="1" applyFill="1" applyBorder="1" applyAlignment="1" applyProtection="1">
      <alignment horizontal="center" vertical="center" wrapText="1"/>
    </xf>
    <xf numFmtId="0" fontId="54" fillId="3" borderId="12" xfId="0" applyFont="1" applyFill="1" applyBorder="1" applyAlignment="1" applyProtection="1">
      <alignment horizontal="center" vertical="center" wrapText="1"/>
    </xf>
    <xf numFmtId="0" fontId="53" fillId="3" borderId="63" xfId="0" applyFont="1" applyFill="1" applyBorder="1" applyAlignment="1" applyProtection="1">
      <alignment horizontal="center"/>
    </xf>
    <xf numFmtId="0" fontId="53" fillId="3" borderId="64" xfId="0" applyFont="1" applyFill="1" applyBorder="1" applyAlignment="1" applyProtection="1">
      <alignment horizontal="center"/>
    </xf>
    <xf numFmtId="0" fontId="53" fillId="3" borderId="65" xfId="0" applyFont="1" applyFill="1" applyBorder="1" applyAlignment="1" applyProtection="1">
      <alignment horizontal="center"/>
    </xf>
    <xf numFmtId="0" fontId="77" fillId="11" borderId="13" xfId="2" applyFont="1" applyFill="1" applyBorder="1" applyAlignment="1" applyProtection="1">
      <alignment horizontal="center" vertical="center" wrapText="1"/>
      <protection locked="0"/>
    </xf>
    <xf numFmtId="0" fontId="77" fillId="11" borderId="66" xfId="2" applyFont="1" applyFill="1" applyBorder="1" applyAlignment="1" applyProtection="1">
      <alignment horizontal="center" vertical="center" wrapText="1"/>
      <protection locked="0"/>
    </xf>
    <xf numFmtId="0" fontId="77" fillId="11" borderId="67" xfId="2" applyFont="1" applyFill="1" applyBorder="1" applyAlignment="1" applyProtection="1">
      <alignment horizontal="center" vertical="center" wrapText="1"/>
      <protection locked="0"/>
    </xf>
    <xf numFmtId="0" fontId="62" fillId="0" borderId="0" xfId="3" applyFont="1" applyFill="1" applyBorder="1" applyAlignment="1" applyProtection="1">
      <alignment horizontal="center"/>
    </xf>
    <xf numFmtId="0" fontId="31" fillId="2" borderId="45" xfId="0" applyFont="1" applyFill="1" applyBorder="1" applyAlignment="1" applyProtection="1">
      <alignment horizontal="center" vertical="center" wrapText="1"/>
    </xf>
    <xf numFmtId="0" fontId="31" fillId="2" borderId="46" xfId="0" applyFont="1" applyFill="1" applyBorder="1" applyAlignment="1" applyProtection="1">
      <alignment horizontal="center" vertical="center"/>
    </xf>
    <xf numFmtId="0" fontId="31" fillId="2" borderId="73" xfId="0" applyFont="1" applyFill="1" applyBorder="1" applyAlignment="1" applyProtection="1">
      <alignment horizontal="center" vertical="center"/>
    </xf>
    <xf numFmtId="0" fontId="31" fillId="2" borderId="74"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0" fontId="31" fillId="2" borderId="75" xfId="0" applyFont="1" applyFill="1" applyBorder="1" applyAlignment="1" applyProtection="1">
      <alignment horizontal="center" vertical="center"/>
    </xf>
    <xf numFmtId="0" fontId="64" fillId="0" borderId="0" xfId="3" applyFont="1" applyFill="1" applyBorder="1" applyAlignment="1" applyProtection="1">
      <alignment horizontal="right" indent="1"/>
    </xf>
    <xf numFmtId="168" fontId="0" fillId="9" borderId="1" xfId="0" applyNumberFormat="1" applyFont="1" applyFill="1" applyBorder="1" applyAlignment="1">
      <alignment horizontal="center"/>
    </xf>
    <xf numFmtId="168" fontId="7" fillId="3" borderId="1" xfId="0" applyNumberFormat="1" applyFont="1" applyFill="1" applyBorder="1" applyAlignment="1">
      <alignment horizontal="center"/>
    </xf>
    <xf numFmtId="0" fontId="4" fillId="2" borderId="0" xfId="0" applyFont="1" applyFill="1" applyBorder="1" applyAlignment="1">
      <alignment horizontal="right" wrapText="1"/>
    </xf>
    <xf numFmtId="0" fontId="0" fillId="2" borderId="0" xfId="0" applyFont="1" applyFill="1" applyBorder="1" applyAlignment="1">
      <alignment horizontal="center"/>
    </xf>
    <xf numFmtId="0" fontId="66" fillId="9" borderId="1" xfId="0" applyFont="1" applyFill="1" applyBorder="1" applyAlignment="1">
      <alignment horizontal="center" wrapText="1"/>
    </xf>
    <xf numFmtId="0" fontId="66" fillId="2" borderId="0" xfId="0" applyFont="1" applyFill="1" applyBorder="1" applyAlignment="1">
      <alignment horizontal="center" wrapText="1"/>
    </xf>
    <xf numFmtId="0" fontId="70" fillId="2" borderId="9" xfId="0" applyFont="1" applyFill="1" applyBorder="1" applyAlignment="1">
      <alignment horizontal="left"/>
    </xf>
    <xf numFmtId="0" fontId="70" fillId="2" borderId="35" xfId="0" applyFont="1" applyFill="1" applyBorder="1" applyAlignment="1">
      <alignment horizontal="left"/>
    </xf>
    <xf numFmtId="0" fontId="68" fillId="2" borderId="84" xfId="0" applyFont="1" applyFill="1" applyBorder="1" applyAlignment="1">
      <alignment horizontal="left" indent="1"/>
    </xf>
    <xf numFmtId="0" fontId="68" fillId="2" borderId="47" xfId="0" applyFont="1" applyFill="1" applyBorder="1" applyAlignment="1">
      <alignment horizontal="left" indent="1"/>
    </xf>
    <xf numFmtId="0" fontId="69" fillId="2" borderId="4"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9" fillId="2" borderId="0" xfId="0" applyFont="1" applyFill="1" applyBorder="1" applyAlignment="1">
      <alignment horizontal="center" vertical="center" wrapText="1"/>
    </xf>
    <xf numFmtId="0" fontId="69" fillId="2" borderId="8"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35" fillId="2" borderId="84" xfId="0" applyFont="1" applyFill="1" applyBorder="1" applyAlignment="1">
      <alignment horizontal="left" indent="1"/>
    </xf>
    <xf numFmtId="0" fontId="35" fillId="2" borderId="47" xfId="0" applyFont="1" applyFill="1" applyBorder="1" applyAlignment="1">
      <alignment horizontal="left" indent="1"/>
    </xf>
    <xf numFmtId="0" fontId="35" fillId="2" borderId="25" xfId="0" applyFont="1" applyFill="1" applyBorder="1" applyAlignment="1">
      <alignment horizontal="left" indent="1"/>
    </xf>
    <xf numFmtId="0" fontId="35" fillId="2" borderId="49" xfId="0" applyFont="1" applyFill="1" applyBorder="1" applyAlignment="1">
      <alignment horizontal="left" indent="1"/>
    </xf>
    <xf numFmtId="0" fontId="35" fillId="2" borderId="21" xfId="0" applyFont="1" applyFill="1" applyBorder="1" applyAlignment="1">
      <alignment horizontal="left" indent="1"/>
    </xf>
    <xf numFmtId="0" fontId="35" fillId="2" borderId="48" xfId="0" applyFont="1" applyFill="1" applyBorder="1" applyAlignment="1">
      <alignment horizontal="left" indent="1"/>
    </xf>
    <xf numFmtId="0" fontId="46" fillId="4" borderId="4"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82"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6" fillId="4" borderId="83"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5" fillId="12" borderId="17" xfId="0" applyFont="1" applyFill="1" applyBorder="1" applyAlignment="1">
      <alignment horizontal="center"/>
    </xf>
    <xf numFmtId="0" fontId="5" fillId="12" borderId="41" xfId="0" applyFont="1" applyFill="1" applyBorder="1" applyAlignment="1">
      <alignment horizontal="center"/>
    </xf>
    <xf numFmtId="0" fontId="5" fillId="12" borderId="39" xfId="0" applyFont="1" applyFill="1" applyBorder="1" applyAlignment="1">
      <alignment horizontal="center"/>
    </xf>
    <xf numFmtId="0" fontId="5" fillId="12" borderId="42" xfId="0" applyFont="1" applyFill="1" applyBorder="1" applyAlignment="1">
      <alignment horizontal="center"/>
    </xf>
    <xf numFmtId="0" fontId="46" fillId="4" borderId="76" xfId="0" applyFont="1" applyFill="1" applyBorder="1" applyAlignment="1">
      <alignment horizontal="center" wrapText="1"/>
    </xf>
    <xf numFmtId="0" fontId="46" fillId="4" borderId="85" xfId="0" applyFont="1" applyFill="1" applyBorder="1" applyAlignment="1">
      <alignment horizontal="center" wrapText="1"/>
    </xf>
    <xf numFmtId="0" fontId="46" fillId="4" borderId="76" xfId="0" applyFont="1" applyFill="1" applyBorder="1" applyAlignment="1">
      <alignment horizontal="center" vertical="center" wrapText="1"/>
    </xf>
    <xf numFmtId="0" fontId="46" fillId="4" borderId="85" xfId="0" applyFont="1" applyFill="1" applyBorder="1" applyAlignment="1">
      <alignment horizontal="center" vertical="center" wrapText="1"/>
    </xf>
    <xf numFmtId="0" fontId="2" fillId="4" borderId="4" xfId="0" applyFont="1" applyFill="1" applyBorder="1" applyAlignment="1">
      <alignment horizontal="center" wrapText="1"/>
    </xf>
    <xf numFmtId="0" fontId="2" fillId="4" borderId="6" xfId="0" applyFont="1" applyFill="1" applyBorder="1" applyAlignment="1">
      <alignment horizontal="center" wrapText="1"/>
    </xf>
    <xf numFmtId="0" fontId="2" fillId="4" borderId="10" xfId="0" applyFont="1" applyFill="1" applyBorder="1" applyAlignment="1">
      <alignment horizontal="center" wrapText="1"/>
    </xf>
    <xf numFmtId="0" fontId="2" fillId="4" borderId="12" xfId="0" applyFont="1" applyFill="1" applyBorder="1" applyAlignment="1">
      <alignment horizontal="center" wrapText="1"/>
    </xf>
  </cellXfs>
  <cellStyles count="9">
    <cellStyle name="Hyperlink" xfId="2" builtinId="8"/>
    <cellStyle name="Normal" xfId="0" builtinId="0"/>
    <cellStyle name="Normal 10 2" xfId="3"/>
    <cellStyle name="Normal 4 3" xfId="4"/>
    <cellStyle name="Normal_lighttableapril1601 2" xfId="5"/>
    <cellStyle name="Normal_lighttableapril1601 2 2" xfId="7"/>
    <cellStyle name="Normal_lighttableapril1601 2 3" xfId="6"/>
    <cellStyle name="Normal_lighttableapril1601 4" xfId="8"/>
    <cellStyle name="Percent" xfId="1" builtinId="5"/>
  </cellStyles>
  <dxfs count="46">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patternType="darkUp"/>
      </fill>
    </dxf>
    <dxf>
      <font>
        <color theme="1"/>
      </font>
      <fill>
        <patternFill patternType="darkUp"/>
      </fill>
    </dxf>
    <dxf>
      <fill>
        <patternFill>
          <bgColor rgb="FFFFFF99"/>
        </patternFill>
      </fill>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bgColor rgb="FFFF0000"/>
        </patternFill>
      </fill>
    </dxf>
    <dxf>
      <fill>
        <patternFill>
          <bgColor rgb="FFFF0000"/>
        </patternFill>
      </fill>
    </dxf>
    <dxf>
      <font>
        <b val="0"/>
        <i val="0"/>
        <color auto="1"/>
      </font>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color theme="1"/>
      </font>
      <fill>
        <patternFill patternType="darkUp"/>
      </fill>
    </dxf>
    <dxf>
      <fill>
        <patternFill>
          <bgColor rgb="FFFF0000"/>
        </patternFill>
      </fill>
    </dxf>
    <dxf>
      <font>
        <b/>
        <i val="0"/>
        <color rgb="FFFF0000"/>
      </font>
    </dxf>
    <dxf>
      <fill>
        <patternFill patternType="darkUp"/>
      </fill>
    </dxf>
    <dxf>
      <fill>
        <patternFill>
          <bgColor rgb="FFFF0000"/>
        </patternFill>
      </fill>
    </dxf>
    <dxf>
      <font>
        <b/>
        <i val="0"/>
        <color rgb="FFFF0000"/>
      </font>
    </dxf>
    <dxf>
      <font>
        <color theme="1"/>
      </font>
      <fill>
        <patternFill patternType="darkUp"/>
      </fill>
    </dxf>
    <dxf>
      <fill>
        <patternFill patternType="darkUp"/>
      </fill>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0070CD"/>
      <color rgb="FF77BC1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decicco\Desktop\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DERATIONS"/>
      <sheetName val="Manual"/>
      <sheetName val="Changelog"/>
      <sheetName val="Glossary"/>
      <sheetName val="General Information"/>
      <sheetName val="Lighting Inventory"/>
      <sheetName val="Fixture Identities"/>
      <sheetName val="Summary"/>
      <sheetName val="Looku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1"/>
  <sheetViews>
    <sheetView showGridLines="0" zoomScale="90" zoomScaleNormal="90" workbookViewId="0">
      <pane ySplit="3" topLeftCell="A91" activePane="bottomLeft" state="frozen"/>
      <selection activeCell="U19" sqref="U19"/>
      <selection pane="bottomLeft" activeCell="B110" sqref="B110"/>
    </sheetView>
  </sheetViews>
  <sheetFormatPr defaultRowHeight="15.75" x14ac:dyDescent="0.25"/>
  <cols>
    <col min="1" max="1" width="3.7109375" style="204" customWidth="1"/>
    <col min="2" max="2" width="2.7109375" style="204" customWidth="1"/>
    <col min="3" max="3" width="3.7109375" style="204" customWidth="1"/>
    <col min="4" max="4" width="5.7109375" style="204" customWidth="1"/>
    <col min="5" max="5" width="12.28515625" style="204" customWidth="1"/>
    <col min="6" max="6" width="25.7109375" style="204" customWidth="1"/>
    <col min="7" max="8" width="8.7109375" style="204" customWidth="1"/>
    <col min="9" max="9" width="23.7109375" style="204" customWidth="1"/>
    <col min="10" max="10" width="8.7109375" style="204" customWidth="1"/>
    <col min="11" max="11" width="5.7109375" style="204" customWidth="1"/>
    <col min="12" max="14" width="8.7109375" style="204" customWidth="1"/>
    <col min="15" max="22" width="9.140625" style="204"/>
    <col min="23" max="16384" width="9.140625" style="168"/>
  </cols>
  <sheetData>
    <row r="1" spans="1:22" ht="15" customHeight="1" x14ac:dyDescent="0.25"/>
    <row r="2" spans="1:22" s="27" customFormat="1" ht="22.5" x14ac:dyDescent="0.25">
      <c r="A2" s="2"/>
      <c r="B2" s="3" t="s">
        <v>0</v>
      </c>
      <c r="C2" s="4"/>
      <c r="D2" s="4"/>
      <c r="E2" s="4"/>
      <c r="F2" s="4"/>
      <c r="G2" s="4"/>
      <c r="H2" s="4"/>
      <c r="I2" s="4"/>
      <c r="J2" s="4"/>
      <c r="K2" s="4"/>
      <c r="L2" s="4"/>
      <c r="M2" s="4"/>
      <c r="N2" s="4"/>
      <c r="O2" s="4"/>
      <c r="P2" s="4"/>
      <c r="Q2" s="4"/>
      <c r="R2" s="4"/>
      <c r="S2" s="4"/>
      <c r="T2" s="4"/>
      <c r="U2" s="4"/>
      <c r="V2" s="4"/>
    </row>
    <row r="3" spans="1:22" s="83" customFormat="1" ht="17.25" x14ac:dyDescent="0.25">
      <c r="A3" s="5"/>
      <c r="B3" s="7" t="s">
        <v>1</v>
      </c>
      <c r="C3" s="6"/>
      <c r="D3" s="6"/>
      <c r="E3" s="6"/>
      <c r="F3" s="6"/>
      <c r="G3" s="6"/>
      <c r="H3" s="6"/>
      <c r="I3" s="6"/>
      <c r="J3" s="6"/>
      <c r="K3" s="6"/>
      <c r="L3" s="6"/>
      <c r="M3" s="6"/>
      <c r="N3" s="6"/>
      <c r="O3" s="6"/>
      <c r="P3" s="6"/>
      <c r="Q3" s="6"/>
      <c r="R3" s="6"/>
      <c r="S3" s="6"/>
      <c r="T3" s="6"/>
      <c r="U3" s="6"/>
      <c r="V3" s="6"/>
    </row>
    <row r="4" spans="1:22" ht="9.75" customHeight="1" thickBot="1" x14ac:dyDescent="0.3">
      <c r="A4" s="205"/>
      <c r="B4" s="205"/>
      <c r="C4" s="205"/>
      <c r="D4" s="205"/>
      <c r="E4" s="205"/>
      <c r="F4" s="205"/>
      <c r="G4" s="205"/>
      <c r="H4" s="205"/>
      <c r="I4" s="205"/>
      <c r="J4" s="205"/>
      <c r="K4" s="205"/>
      <c r="L4" s="205"/>
      <c r="M4" s="205"/>
      <c r="N4" s="205"/>
      <c r="O4" s="205"/>
      <c r="P4" s="205"/>
      <c r="Q4" s="205"/>
      <c r="R4" s="205"/>
      <c r="S4" s="205"/>
      <c r="T4" s="205"/>
      <c r="U4" s="205"/>
      <c r="V4" s="205"/>
    </row>
    <row r="5" spans="1:22" ht="9.75" customHeight="1" x14ac:dyDescent="0.25"/>
    <row r="6" spans="1:22" x14ac:dyDescent="0.25">
      <c r="B6" s="206" t="s">
        <v>2</v>
      </c>
    </row>
    <row r="7" spans="1:22" x14ac:dyDescent="0.25">
      <c r="C7" s="204" t="s">
        <v>3</v>
      </c>
      <c r="D7" s="207" t="s">
        <v>4</v>
      </c>
    </row>
    <row r="8" spans="1:22" x14ac:dyDescent="0.25">
      <c r="C8" s="204" t="s">
        <v>5</v>
      </c>
      <c r="D8" s="207" t="s">
        <v>6</v>
      </c>
    </row>
    <row r="9" spans="1:22" x14ac:dyDescent="0.25">
      <c r="C9" s="204" t="s">
        <v>7</v>
      </c>
      <c r="D9" s="207" t="s">
        <v>8</v>
      </c>
    </row>
    <row r="10" spans="1:22" x14ac:dyDescent="0.25">
      <c r="C10" s="204" t="s">
        <v>9</v>
      </c>
      <c r="D10" s="207" t="s">
        <v>10</v>
      </c>
    </row>
    <row r="11" spans="1:22" x14ac:dyDescent="0.25">
      <c r="C11" s="204" t="s">
        <v>11</v>
      </c>
      <c r="D11" s="207" t="s">
        <v>12</v>
      </c>
    </row>
    <row r="12" spans="1:22" ht="16.5" thickBot="1" x14ac:dyDescent="0.3">
      <c r="A12" s="205"/>
      <c r="B12" s="205"/>
      <c r="C12" s="205"/>
      <c r="D12" s="205"/>
      <c r="E12" s="205"/>
      <c r="F12" s="205"/>
      <c r="G12" s="205"/>
      <c r="H12" s="205"/>
      <c r="I12" s="205"/>
      <c r="J12" s="205"/>
      <c r="K12" s="205"/>
      <c r="L12" s="205"/>
      <c r="M12" s="205"/>
      <c r="N12" s="205"/>
      <c r="O12" s="205"/>
      <c r="P12" s="205"/>
      <c r="Q12" s="205"/>
      <c r="R12" s="205"/>
      <c r="S12" s="205"/>
      <c r="T12" s="205"/>
      <c r="U12" s="205"/>
      <c r="V12" s="205"/>
    </row>
    <row r="14" spans="1:22" x14ac:dyDescent="0.25">
      <c r="B14" s="206" t="s">
        <v>13</v>
      </c>
    </row>
    <row r="15" spans="1:22" x14ac:dyDescent="0.25">
      <c r="C15" s="204" t="s">
        <v>14</v>
      </c>
    </row>
    <row r="16" spans="1:22" x14ac:dyDescent="0.25">
      <c r="D16" s="204" t="s">
        <v>15</v>
      </c>
    </row>
    <row r="17" spans="1:22" x14ac:dyDescent="0.25">
      <c r="D17" s="204" t="s">
        <v>16</v>
      </c>
    </row>
    <row r="18" spans="1:22" x14ac:dyDescent="0.25">
      <c r="A18" s="208"/>
      <c r="B18" s="208"/>
      <c r="C18" s="208"/>
      <c r="D18" s="208"/>
      <c r="E18" s="208"/>
      <c r="F18" s="208"/>
      <c r="G18" s="208"/>
      <c r="H18" s="208"/>
      <c r="I18" s="208"/>
      <c r="J18" s="208"/>
      <c r="K18" s="208"/>
      <c r="L18" s="208"/>
      <c r="M18" s="208"/>
      <c r="N18" s="208"/>
      <c r="O18" s="208"/>
      <c r="P18" s="208"/>
      <c r="Q18" s="208"/>
      <c r="R18" s="208"/>
      <c r="S18" s="208"/>
      <c r="T18" s="208"/>
      <c r="U18" s="208"/>
      <c r="V18" s="208"/>
    </row>
    <row r="20" spans="1:22" x14ac:dyDescent="0.25">
      <c r="B20" s="206" t="s">
        <v>17</v>
      </c>
    </row>
    <row r="21" spans="1:22" x14ac:dyDescent="0.25">
      <c r="C21" s="204" t="s">
        <v>18</v>
      </c>
    </row>
    <row r="23" spans="1:22" x14ac:dyDescent="0.25">
      <c r="C23" s="415" t="s">
        <v>19</v>
      </c>
      <c r="D23" s="415"/>
      <c r="E23" s="415"/>
    </row>
    <row r="24" spans="1:22" x14ac:dyDescent="0.25">
      <c r="C24" s="207"/>
      <c r="D24" s="209" t="s">
        <v>20</v>
      </c>
    </row>
    <row r="25" spans="1:22" x14ac:dyDescent="0.25">
      <c r="D25" s="412" t="s">
        <v>21</v>
      </c>
      <c r="E25" s="412"/>
      <c r="F25" s="412"/>
      <c r="G25" s="412"/>
      <c r="H25" s="412"/>
      <c r="I25" s="412"/>
      <c r="J25" s="412"/>
      <c r="K25" s="412"/>
      <c r="L25" s="412"/>
      <c r="M25" s="412"/>
      <c r="N25" s="412"/>
    </row>
    <row r="27" spans="1:22" x14ac:dyDescent="0.25">
      <c r="C27" s="415" t="s">
        <v>22</v>
      </c>
      <c r="D27" s="415"/>
      <c r="E27" s="415"/>
    </row>
    <row r="28" spans="1:22" x14ac:dyDescent="0.25">
      <c r="C28" s="207"/>
      <c r="D28" s="209" t="s">
        <v>20</v>
      </c>
    </row>
    <row r="29" spans="1:22" x14ac:dyDescent="0.25">
      <c r="D29" s="412" t="s">
        <v>23</v>
      </c>
      <c r="E29" s="412"/>
      <c r="F29" s="412"/>
      <c r="G29" s="412"/>
      <c r="H29" s="412"/>
      <c r="I29" s="412"/>
      <c r="J29" s="412"/>
      <c r="K29" s="412"/>
      <c r="L29" s="412"/>
      <c r="M29" s="412"/>
      <c r="N29" s="412"/>
    </row>
    <row r="31" spans="1:22" x14ac:dyDescent="0.25">
      <c r="C31" s="415" t="s">
        <v>24</v>
      </c>
      <c r="D31" s="415"/>
      <c r="E31" s="415"/>
    </row>
    <row r="32" spans="1:22" x14ac:dyDescent="0.25">
      <c r="C32" s="207"/>
      <c r="D32" s="209" t="s">
        <v>20</v>
      </c>
    </row>
    <row r="33" spans="3:14" ht="31.5" customHeight="1" x14ac:dyDescent="0.25">
      <c r="D33" s="412" t="s">
        <v>25</v>
      </c>
      <c r="E33" s="412"/>
      <c r="F33" s="412"/>
      <c r="G33" s="412"/>
      <c r="H33" s="412"/>
      <c r="I33" s="412"/>
      <c r="J33" s="412"/>
      <c r="K33" s="412"/>
      <c r="L33" s="412"/>
      <c r="M33" s="412"/>
      <c r="N33" s="412"/>
    </row>
    <row r="35" spans="3:14" x14ac:dyDescent="0.25">
      <c r="C35" s="415" t="s">
        <v>26</v>
      </c>
      <c r="D35" s="415"/>
      <c r="E35" s="415"/>
    </row>
    <row r="36" spans="3:14" x14ac:dyDescent="0.25">
      <c r="C36" s="207"/>
      <c r="D36" s="210" t="s">
        <v>27</v>
      </c>
    </row>
    <row r="37" spans="3:14" ht="47.25" customHeight="1" x14ac:dyDescent="0.25">
      <c r="D37" s="412" t="s">
        <v>2926</v>
      </c>
      <c r="E37" s="412"/>
      <c r="F37" s="412"/>
      <c r="G37" s="412"/>
      <c r="H37" s="412"/>
      <c r="I37" s="412"/>
      <c r="J37" s="412"/>
      <c r="K37" s="412"/>
      <c r="L37" s="412"/>
      <c r="M37" s="412"/>
      <c r="N37" s="412"/>
    </row>
    <row r="39" spans="3:14" x14ac:dyDescent="0.25">
      <c r="C39" s="415" t="s">
        <v>28</v>
      </c>
      <c r="D39" s="415"/>
      <c r="E39" s="415"/>
    </row>
    <row r="40" spans="3:14" x14ac:dyDescent="0.25">
      <c r="C40" s="207"/>
      <c r="D40" s="210" t="s">
        <v>27</v>
      </c>
    </row>
    <row r="41" spans="3:14" ht="49.5" customHeight="1" x14ac:dyDescent="0.25">
      <c r="D41" s="412" t="s">
        <v>2925</v>
      </c>
      <c r="E41" s="412"/>
      <c r="F41" s="412"/>
      <c r="G41" s="412"/>
      <c r="H41" s="412"/>
      <c r="I41" s="412"/>
      <c r="J41" s="412"/>
      <c r="K41" s="412"/>
      <c r="L41" s="412"/>
      <c r="M41" s="412"/>
      <c r="N41" s="412"/>
    </row>
    <row r="43" spans="3:14" x14ac:dyDescent="0.25">
      <c r="C43" s="415" t="s">
        <v>29</v>
      </c>
      <c r="D43" s="415"/>
      <c r="E43" s="415"/>
    </row>
    <row r="44" spans="3:14" x14ac:dyDescent="0.25">
      <c r="C44" s="207"/>
      <c r="D44" s="209" t="s">
        <v>30</v>
      </c>
    </row>
    <row r="45" spans="3:14" ht="76.5" customHeight="1" x14ac:dyDescent="0.25">
      <c r="D45" s="412" t="s">
        <v>31</v>
      </c>
      <c r="E45" s="412"/>
      <c r="F45" s="412"/>
      <c r="G45" s="412"/>
      <c r="H45" s="412"/>
      <c r="I45" s="412"/>
      <c r="J45" s="412"/>
      <c r="K45" s="412"/>
      <c r="L45" s="412"/>
      <c r="M45" s="412"/>
      <c r="N45" s="412"/>
    </row>
    <row r="47" spans="3:14" x14ac:dyDescent="0.25">
      <c r="C47" s="415" t="s">
        <v>32</v>
      </c>
      <c r="D47" s="415"/>
      <c r="E47" s="415"/>
    </row>
    <row r="48" spans="3:14" x14ac:dyDescent="0.25">
      <c r="C48" s="207"/>
      <c r="D48" s="209" t="s">
        <v>20</v>
      </c>
    </row>
    <row r="49" spans="1:22" ht="31.5" customHeight="1" x14ac:dyDescent="0.25">
      <c r="D49" s="412" t="s">
        <v>2984</v>
      </c>
      <c r="E49" s="412"/>
      <c r="F49" s="412"/>
      <c r="G49" s="412"/>
      <c r="H49" s="412"/>
      <c r="I49" s="412"/>
      <c r="J49" s="412"/>
      <c r="K49" s="412"/>
      <c r="L49" s="412"/>
      <c r="M49" s="412"/>
      <c r="N49" s="412"/>
    </row>
    <row r="51" spans="1:22" x14ac:dyDescent="0.25">
      <c r="C51" s="415" t="s">
        <v>33</v>
      </c>
      <c r="D51" s="415"/>
      <c r="E51" s="415"/>
    </row>
    <row r="52" spans="1:22" x14ac:dyDescent="0.25">
      <c r="C52" s="207"/>
      <c r="D52" s="209" t="s">
        <v>20</v>
      </c>
    </row>
    <row r="53" spans="1:22" ht="31.5" customHeight="1" x14ac:dyDescent="0.25">
      <c r="D53" s="412" t="s">
        <v>34</v>
      </c>
      <c r="E53" s="412"/>
      <c r="F53" s="412"/>
      <c r="G53" s="412"/>
      <c r="H53" s="412"/>
      <c r="I53" s="412"/>
      <c r="J53" s="412"/>
      <c r="K53" s="412"/>
      <c r="L53" s="412"/>
      <c r="M53" s="412"/>
      <c r="N53" s="412"/>
    </row>
    <row r="54" spans="1:22" x14ac:dyDescent="0.25">
      <c r="A54" s="208"/>
      <c r="B54" s="208"/>
      <c r="C54" s="208"/>
      <c r="D54" s="208"/>
      <c r="E54" s="208"/>
      <c r="F54" s="208"/>
      <c r="G54" s="208"/>
      <c r="H54" s="208"/>
      <c r="I54" s="208"/>
      <c r="J54" s="208"/>
      <c r="K54" s="208"/>
      <c r="L54" s="208"/>
      <c r="M54" s="208"/>
      <c r="N54" s="208"/>
      <c r="O54" s="208"/>
      <c r="P54" s="208"/>
      <c r="Q54" s="208"/>
      <c r="R54" s="208"/>
      <c r="S54" s="208"/>
      <c r="T54" s="208"/>
      <c r="U54" s="208"/>
      <c r="V54" s="208"/>
    </row>
    <row r="56" spans="1:22" x14ac:dyDescent="0.25">
      <c r="B56" s="206" t="s">
        <v>35</v>
      </c>
    </row>
    <row r="57" spans="1:22" ht="36" customHeight="1" x14ac:dyDescent="0.25">
      <c r="D57" s="414" t="s">
        <v>36</v>
      </c>
      <c r="E57" s="414"/>
      <c r="F57" s="414"/>
      <c r="G57" s="414"/>
      <c r="H57" s="414"/>
      <c r="I57" s="414"/>
      <c r="J57" s="414"/>
      <c r="K57" s="414"/>
      <c r="L57" s="414"/>
      <c r="M57" s="414"/>
      <c r="N57" s="414"/>
    </row>
    <row r="58" spans="1:22" x14ac:dyDescent="0.25">
      <c r="D58" s="211"/>
      <c r="E58" s="211"/>
      <c r="F58" s="211"/>
      <c r="G58" s="211"/>
      <c r="H58" s="211"/>
      <c r="I58" s="211"/>
      <c r="J58" s="211"/>
      <c r="K58" s="211"/>
      <c r="L58" s="211"/>
      <c r="M58" s="211"/>
      <c r="N58" s="211"/>
    </row>
    <row r="59" spans="1:22" ht="48" customHeight="1" x14ac:dyDescent="0.25">
      <c r="A59" s="229"/>
      <c r="B59" s="229"/>
      <c r="C59" s="229"/>
      <c r="D59" s="414" t="s">
        <v>37</v>
      </c>
      <c r="E59" s="414"/>
      <c r="F59" s="414"/>
      <c r="G59" s="414"/>
      <c r="H59" s="414"/>
      <c r="I59" s="414"/>
      <c r="J59" s="414"/>
      <c r="K59" s="414"/>
      <c r="L59" s="414"/>
      <c r="M59" s="414"/>
      <c r="N59" s="414"/>
    </row>
    <row r="60" spans="1:22" x14ac:dyDescent="0.25">
      <c r="A60" s="229"/>
      <c r="B60" s="229"/>
      <c r="C60" s="229"/>
      <c r="D60" s="211"/>
      <c r="E60" s="211"/>
      <c r="F60" s="211"/>
      <c r="G60" s="211"/>
      <c r="H60" s="211"/>
      <c r="I60" s="211"/>
      <c r="J60" s="231"/>
      <c r="K60" s="211"/>
      <c r="L60" s="211"/>
      <c r="M60" s="211"/>
      <c r="N60" s="211"/>
    </row>
    <row r="61" spans="1:22" ht="15.75" customHeight="1" x14ac:dyDescent="0.25">
      <c r="A61" s="229"/>
      <c r="B61" s="229" t="s">
        <v>38</v>
      </c>
      <c r="C61" s="229"/>
      <c r="D61" s="212"/>
      <c r="F61" s="213" t="s">
        <v>39</v>
      </c>
      <c r="G61" s="230" t="s">
        <v>40</v>
      </c>
      <c r="H61" s="215"/>
      <c r="I61" s="213" t="s">
        <v>41</v>
      </c>
      <c r="J61" s="230" t="s">
        <v>42</v>
      </c>
      <c r="K61" s="215"/>
      <c r="L61" s="215"/>
      <c r="M61" s="215"/>
      <c r="N61" s="215"/>
    </row>
    <row r="62" spans="1:22" ht="15.75" customHeight="1" x14ac:dyDescent="0.25">
      <c r="A62" s="229"/>
      <c r="B62" s="229" t="s">
        <v>43</v>
      </c>
      <c r="C62" s="229"/>
      <c r="D62" s="211"/>
      <c r="F62" s="213" t="s">
        <v>44</v>
      </c>
      <c r="G62" s="230" t="s">
        <v>45</v>
      </c>
      <c r="H62" s="211"/>
      <c r="I62" s="213" t="s">
        <v>46</v>
      </c>
      <c r="J62" s="230" t="s">
        <v>47</v>
      </c>
      <c r="K62" s="211"/>
      <c r="L62" s="211"/>
      <c r="M62" s="211"/>
      <c r="N62" s="211"/>
    </row>
    <row r="63" spans="1:22" ht="15.75" customHeight="1" x14ac:dyDescent="0.25">
      <c r="A63" s="229"/>
      <c r="B63" s="229" t="s">
        <v>48</v>
      </c>
      <c r="C63" s="229"/>
      <c r="D63" s="212"/>
      <c r="F63" s="213" t="s">
        <v>49</v>
      </c>
      <c r="G63" s="230" t="s">
        <v>50</v>
      </c>
      <c r="H63" s="215"/>
      <c r="I63" s="213" t="s">
        <v>51</v>
      </c>
      <c r="J63" s="230" t="s">
        <v>52</v>
      </c>
      <c r="K63" s="215"/>
      <c r="L63" s="215"/>
      <c r="M63" s="215"/>
      <c r="N63" s="215"/>
    </row>
    <row r="64" spans="1:22" ht="15.75" customHeight="1" x14ac:dyDescent="0.25">
      <c r="A64" s="229"/>
      <c r="B64" s="229" t="s">
        <v>53</v>
      </c>
      <c r="C64" s="229"/>
      <c r="D64" s="211"/>
      <c r="F64" s="213" t="s">
        <v>54</v>
      </c>
      <c r="G64" s="230" t="s">
        <v>55</v>
      </c>
      <c r="H64" s="211"/>
      <c r="I64" s="213" t="s">
        <v>56</v>
      </c>
      <c r="J64" s="230" t="s">
        <v>57</v>
      </c>
      <c r="K64" s="211"/>
      <c r="L64" s="211"/>
      <c r="M64" s="211"/>
      <c r="N64" s="211"/>
    </row>
    <row r="65" spans="1:14" ht="15.75" customHeight="1" x14ac:dyDescent="0.25">
      <c r="A65" s="229"/>
      <c r="B65" s="229" t="s">
        <v>58</v>
      </c>
      <c r="C65" s="229"/>
      <c r="D65" s="212"/>
      <c r="F65" s="213" t="s">
        <v>59</v>
      </c>
      <c r="G65" s="230" t="s">
        <v>60</v>
      </c>
      <c r="H65" s="215"/>
      <c r="I65" s="213" t="s">
        <v>61</v>
      </c>
      <c r="J65" s="230" t="s">
        <v>62</v>
      </c>
      <c r="K65" s="215"/>
      <c r="L65" s="215"/>
      <c r="M65" s="215"/>
      <c r="N65" s="215"/>
    </row>
    <row r="66" spans="1:14" ht="15.75" customHeight="1" x14ac:dyDescent="0.25">
      <c r="A66" s="229"/>
      <c r="B66" s="229" t="s">
        <v>63</v>
      </c>
      <c r="C66" s="229"/>
      <c r="D66" s="211"/>
      <c r="F66" s="213" t="s">
        <v>64</v>
      </c>
      <c r="G66" s="230" t="s">
        <v>65</v>
      </c>
      <c r="H66" s="211"/>
      <c r="I66" s="213" t="s">
        <v>66</v>
      </c>
      <c r="J66" s="230" t="s">
        <v>67</v>
      </c>
      <c r="K66" s="211"/>
      <c r="L66" s="211"/>
      <c r="M66" s="211"/>
      <c r="N66" s="211"/>
    </row>
    <row r="67" spans="1:14" ht="15.75" customHeight="1" x14ac:dyDescent="0.25">
      <c r="A67" s="229"/>
      <c r="B67" s="229" t="s">
        <v>68</v>
      </c>
      <c r="C67" s="229"/>
      <c r="D67" s="212"/>
      <c r="F67" s="213" t="s">
        <v>69</v>
      </c>
      <c r="G67" s="230" t="s">
        <v>70</v>
      </c>
      <c r="H67" s="215"/>
      <c r="I67" s="213" t="s">
        <v>71</v>
      </c>
      <c r="J67" s="230" t="s">
        <v>72</v>
      </c>
      <c r="K67" s="215"/>
      <c r="L67" s="215"/>
      <c r="M67" s="215"/>
      <c r="N67" s="215"/>
    </row>
    <row r="68" spans="1:14" ht="15.75" customHeight="1" x14ac:dyDescent="0.25">
      <c r="A68" s="229"/>
      <c r="B68" s="229" t="s">
        <v>73</v>
      </c>
      <c r="C68" s="229"/>
      <c r="D68" s="211"/>
      <c r="F68" s="213" t="s">
        <v>74</v>
      </c>
      <c r="G68" s="230" t="s">
        <v>75</v>
      </c>
      <c r="H68" s="211"/>
      <c r="I68" s="213" t="s">
        <v>76</v>
      </c>
      <c r="J68" s="230" t="s">
        <v>77</v>
      </c>
      <c r="K68" s="211"/>
      <c r="L68" s="211"/>
      <c r="M68" s="211"/>
      <c r="N68" s="211"/>
    </row>
    <row r="69" spans="1:14" ht="15.75" customHeight="1" x14ac:dyDescent="0.25">
      <c r="A69" s="229"/>
      <c r="B69" s="229" t="s">
        <v>78</v>
      </c>
      <c r="C69" s="229"/>
      <c r="D69" s="212"/>
      <c r="F69" s="213" t="s">
        <v>79</v>
      </c>
      <c r="G69" s="230" t="s">
        <v>80</v>
      </c>
      <c r="H69" s="215"/>
      <c r="I69" s="215"/>
      <c r="J69" s="230"/>
      <c r="K69" s="215"/>
      <c r="L69" s="215"/>
      <c r="M69" s="215"/>
      <c r="N69" s="215"/>
    </row>
    <row r="70" spans="1:14" ht="15.75" hidden="1" customHeight="1" x14ac:dyDescent="0.25">
      <c r="A70" s="229"/>
      <c r="B70" s="229" t="s">
        <v>81</v>
      </c>
      <c r="C70" s="229"/>
      <c r="D70" s="211"/>
      <c r="F70" s="216" t="s">
        <v>41</v>
      </c>
      <c r="G70" s="214" t="s">
        <v>42</v>
      </c>
      <c r="H70" s="211"/>
      <c r="I70" s="211"/>
      <c r="J70" s="211"/>
      <c r="K70" s="211"/>
      <c r="L70" s="211"/>
      <c r="M70" s="211"/>
      <c r="N70" s="211"/>
    </row>
    <row r="71" spans="1:14" ht="15.75" hidden="1" customHeight="1" x14ac:dyDescent="0.25">
      <c r="A71" s="229"/>
      <c r="B71" s="229" t="s">
        <v>82</v>
      </c>
      <c r="C71" s="229"/>
      <c r="D71" s="212"/>
      <c r="F71" s="216" t="s">
        <v>46</v>
      </c>
      <c r="G71" s="214" t="s">
        <v>47</v>
      </c>
      <c r="H71" s="215"/>
      <c r="I71" s="215"/>
      <c r="J71" s="215"/>
      <c r="K71" s="215"/>
      <c r="L71" s="215"/>
      <c r="M71" s="215"/>
      <c r="N71" s="215"/>
    </row>
    <row r="72" spans="1:14" ht="15.75" hidden="1" customHeight="1" x14ac:dyDescent="0.25">
      <c r="A72" s="229"/>
      <c r="B72" s="229" t="s">
        <v>83</v>
      </c>
      <c r="C72" s="229"/>
      <c r="D72" s="211"/>
      <c r="F72" s="216" t="s">
        <v>51</v>
      </c>
      <c r="G72" s="214" t="s">
        <v>52</v>
      </c>
      <c r="H72" s="211"/>
      <c r="I72" s="211"/>
      <c r="J72" s="211"/>
      <c r="K72" s="211"/>
      <c r="L72" s="211"/>
      <c r="M72" s="211"/>
      <c r="N72" s="211"/>
    </row>
    <row r="73" spans="1:14" ht="15.75" hidden="1" customHeight="1" x14ac:dyDescent="0.25">
      <c r="A73" s="229"/>
      <c r="B73" s="229" t="s">
        <v>84</v>
      </c>
      <c r="C73" s="229"/>
      <c r="D73" s="212"/>
      <c r="F73" s="216" t="s">
        <v>56</v>
      </c>
      <c r="G73" s="214" t="s">
        <v>57</v>
      </c>
      <c r="H73" s="215"/>
      <c r="I73" s="215"/>
      <c r="J73" s="215"/>
      <c r="K73" s="215"/>
      <c r="L73" s="215"/>
      <c r="M73" s="215"/>
      <c r="N73" s="215"/>
    </row>
    <row r="74" spans="1:14" ht="15.75" hidden="1" customHeight="1" x14ac:dyDescent="0.25">
      <c r="A74" s="229"/>
      <c r="B74" s="229" t="s">
        <v>85</v>
      </c>
      <c r="C74" s="229"/>
      <c r="D74" s="212"/>
      <c r="F74" s="216" t="s">
        <v>61</v>
      </c>
      <c r="G74" s="214" t="s">
        <v>62</v>
      </c>
      <c r="H74" s="211"/>
      <c r="I74" s="211"/>
      <c r="J74" s="211"/>
      <c r="K74" s="211"/>
      <c r="L74" s="211"/>
      <c r="M74" s="211"/>
      <c r="N74" s="211"/>
    </row>
    <row r="75" spans="1:14" ht="15.75" hidden="1" customHeight="1" x14ac:dyDescent="0.25">
      <c r="A75" s="229"/>
      <c r="B75" s="229" t="s">
        <v>86</v>
      </c>
      <c r="C75" s="229"/>
      <c r="D75" s="212"/>
      <c r="F75" s="216" t="s">
        <v>66</v>
      </c>
      <c r="G75" s="214" t="s">
        <v>67</v>
      </c>
      <c r="H75" s="215"/>
      <c r="I75" s="215"/>
      <c r="J75" s="215"/>
      <c r="K75" s="215"/>
      <c r="L75" s="215"/>
      <c r="M75" s="215"/>
      <c r="N75" s="215"/>
    </row>
    <row r="76" spans="1:14" ht="15.75" hidden="1" customHeight="1" x14ac:dyDescent="0.25">
      <c r="A76" s="229"/>
      <c r="B76" s="229" t="s">
        <v>87</v>
      </c>
      <c r="C76" s="229"/>
      <c r="D76" s="212"/>
      <c r="F76" s="216" t="s">
        <v>71</v>
      </c>
      <c r="G76" s="214" t="s">
        <v>72</v>
      </c>
      <c r="H76" s="211"/>
      <c r="I76" s="211"/>
      <c r="J76" s="211"/>
      <c r="K76" s="211"/>
      <c r="L76" s="211"/>
      <c r="M76" s="211"/>
      <c r="N76" s="211"/>
    </row>
    <row r="77" spans="1:14" ht="15.75" hidden="1" customHeight="1" x14ac:dyDescent="0.25">
      <c r="A77" s="229"/>
      <c r="B77" s="229" t="s">
        <v>88</v>
      </c>
      <c r="C77" s="229"/>
      <c r="D77" s="212"/>
      <c r="F77" s="216" t="s">
        <v>76</v>
      </c>
      <c r="G77" s="214" t="s">
        <v>89</v>
      </c>
      <c r="H77" s="215"/>
      <c r="I77" s="215"/>
      <c r="J77" s="215"/>
      <c r="K77" s="215"/>
      <c r="L77" s="215"/>
      <c r="M77" s="215"/>
      <c r="N77" s="215"/>
    </row>
    <row r="78" spans="1:14" ht="15.75" hidden="1" customHeight="1" x14ac:dyDescent="0.25">
      <c r="A78" s="229"/>
      <c r="B78" s="229" t="s">
        <v>90</v>
      </c>
      <c r="C78" s="229"/>
      <c r="D78" s="212"/>
      <c r="F78" s="216"/>
      <c r="G78" s="214" t="s">
        <v>91</v>
      </c>
      <c r="H78" s="215"/>
      <c r="I78" s="215"/>
      <c r="J78" s="215"/>
      <c r="K78" s="215"/>
      <c r="L78" s="215"/>
      <c r="M78" s="215"/>
      <c r="N78" s="215"/>
    </row>
    <row r="79" spans="1:14" ht="15.75" hidden="1" customHeight="1" x14ac:dyDescent="0.25">
      <c r="A79" s="229"/>
      <c r="B79" s="229" t="s">
        <v>92</v>
      </c>
      <c r="C79" s="229"/>
      <c r="D79" s="212"/>
      <c r="F79" s="216"/>
      <c r="G79" s="214" t="s">
        <v>93</v>
      </c>
      <c r="H79" s="215"/>
      <c r="I79" s="215"/>
      <c r="J79" s="215"/>
      <c r="K79" s="215"/>
      <c r="L79" s="215"/>
      <c r="M79" s="215"/>
      <c r="N79" s="215"/>
    </row>
    <row r="80" spans="1:14" ht="15.75" hidden="1" customHeight="1" x14ac:dyDescent="0.25">
      <c r="A80" s="229"/>
      <c r="B80" s="229" t="s">
        <v>94</v>
      </c>
      <c r="C80" s="229"/>
      <c r="D80" s="212"/>
      <c r="F80" s="216"/>
      <c r="G80" s="214" t="s">
        <v>95</v>
      </c>
      <c r="H80" s="215"/>
      <c r="I80" s="215"/>
      <c r="J80" s="215"/>
      <c r="K80" s="215"/>
      <c r="L80" s="215"/>
      <c r="M80" s="215"/>
      <c r="N80" s="215"/>
    </row>
    <row r="81" spans="1:22" ht="15.75" hidden="1" customHeight="1" x14ac:dyDescent="0.25">
      <c r="A81" s="229"/>
      <c r="B81" s="229" t="s">
        <v>96</v>
      </c>
      <c r="C81" s="229"/>
      <c r="D81" s="212"/>
      <c r="F81" s="216"/>
      <c r="G81" s="214" t="s">
        <v>97</v>
      </c>
      <c r="H81" s="215"/>
      <c r="I81" s="215"/>
      <c r="J81" s="215"/>
      <c r="K81" s="215"/>
      <c r="L81" s="215"/>
      <c r="M81" s="215"/>
      <c r="N81" s="215"/>
    </row>
    <row r="82" spans="1:22" x14ac:dyDescent="0.25">
      <c r="A82" s="229"/>
      <c r="B82" s="229"/>
      <c r="C82" s="229"/>
      <c r="D82" s="211"/>
      <c r="E82" s="211"/>
      <c r="F82" s="211"/>
      <c r="G82" s="217"/>
      <c r="H82" s="211"/>
      <c r="I82" s="211"/>
      <c r="J82" s="211"/>
      <c r="K82" s="211"/>
      <c r="L82" s="211"/>
      <c r="M82" s="211"/>
      <c r="N82" s="211"/>
    </row>
    <row r="83" spans="1:22" x14ac:dyDescent="0.25">
      <c r="A83" s="229"/>
      <c r="B83" s="229"/>
      <c r="C83" s="229"/>
      <c r="D83" s="211"/>
      <c r="E83" s="211"/>
      <c r="F83" s="211"/>
      <c r="G83" s="211"/>
      <c r="H83" s="211"/>
      <c r="I83" s="211"/>
      <c r="J83" s="211"/>
      <c r="K83" s="211"/>
      <c r="L83" s="211"/>
      <c r="M83" s="211"/>
      <c r="N83" s="211"/>
    </row>
    <row r="84" spans="1:22" ht="48" customHeight="1" x14ac:dyDescent="0.25">
      <c r="A84" s="229"/>
      <c r="B84" s="229"/>
      <c r="C84" s="229"/>
      <c r="D84" s="414" t="s">
        <v>2885</v>
      </c>
      <c r="E84" s="414"/>
      <c r="F84" s="414"/>
      <c r="G84" s="414"/>
      <c r="H84" s="414"/>
      <c r="I84" s="414"/>
      <c r="J84" s="414"/>
      <c r="K84" s="414"/>
      <c r="L84" s="414"/>
      <c r="M84" s="414"/>
      <c r="N84" s="414"/>
    </row>
    <row r="85" spans="1:22" x14ac:dyDescent="0.25">
      <c r="A85" s="229"/>
      <c r="B85" s="229"/>
      <c r="C85" s="229"/>
      <c r="D85" s="211"/>
      <c r="E85" s="211"/>
      <c r="F85" s="211"/>
      <c r="G85" s="231"/>
      <c r="H85" s="211"/>
      <c r="I85" s="211"/>
      <c r="J85" s="211"/>
      <c r="K85" s="211"/>
      <c r="L85" s="211"/>
      <c r="M85" s="211"/>
      <c r="N85" s="211"/>
    </row>
    <row r="86" spans="1:22" ht="15.75" customHeight="1" x14ac:dyDescent="0.25">
      <c r="A86" s="229"/>
      <c r="B86" s="229" t="s">
        <v>2886</v>
      </c>
      <c r="C86" s="229"/>
      <c r="D86" s="218"/>
      <c r="E86" s="219"/>
      <c r="F86" s="213" t="s">
        <v>99</v>
      </c>
      <c r="G86" s="232" t="s">
        <v>2887</v>
      </c>
      <c r="H86" s="211"/>
      <c r="I86" s="221"/>
      <c r="J86" s="211"/>
      <c r="K86" s="211"/>
      <c r="L86" s="211"/>
      <c r="M86" s="211"/>
      <c r="N86" s="211"/>
    </row>
    <row r="87" spans="1:22" ht="15.75" customHeight="1" x14ac:dyDescent="0.25">
      <c r="A87" s="229"/>
      <c r="B87" s="229" t="s">
        <v>2888</v>
      </c>
      <c r="C87" s="229"/>
      <c r="D87" s="218"/>
      <c r="E87" s="219"/>
      <c r="F87" s="213" t="s">
        <v>2880</v>
      </c>
      <c r="G87" s="232" t="s">
        <v>2906</v>
      </c>
      <c r="H87" s="211"/>
      <c r="I87" s="221"/>
      <c r="J87" s="211"/>
      <c r="K87" s="211"/>
      <c r="L87" s="211"/>
      <c r="M87" s="211"/>
      <c r="N87" s="211"/>
    </row>
    <row r="88" spans="1:22" s="193" customFormat="1" ht="15.75" customHeight="1" x14ac:dyDescent="0.25">
      <c r="A88" s="229"/>
      <c r="B88" s="229" t="s">
        <v>2889</v>
      </c>
      <c r="C88" s="229"/>
      <c r="D88" s="211"/>
      <c r="E88" s="204"/>
      <c r="F88" s="213" t="s">
        <v>100</v>
      </c>
      <c r="G88" s="232" t="s">
        <v>2890</v>
      </c>
      <c r="H88" s="211"/>
      <c r="I88" s="211"/>
      <c r="J88" s="211"/>
      <c r="K88" s="211"/>
      <c r="L88" s="211"/>
      <c r="M88" s="211"/>
      <c r="N88" s="211"/>
      <c r="O88" s="204"/>
      <c r="P88" s="204"/>
      <c r="Q88" s="204"/>
      <c r="R88" s="204"/>
      <c r="S88" s="204"/>
      <c r="T88" s="204"/>
      <c r="U88" s="204"/>
      <c r="V88" s="204"/>
    </row>
    <row r="89" spans="1:22" ht="15.75" customHeight="1" x14ac:dyDescent="0.25">
      <c r="A89" s="229"/>
      <c r="B89" s="229" t="s">
        <v>2892</v>
      </c>
      <c r="C89" s="229"/>
      <c r="D89" s="218"/>
      <c r="E89" s="219"/>
      <c r="F89" s="213" t="s">
        <v>101</v>
      </c>
      <c r="G89" s="232" t="s">
        <v>2891</v>
      </c>
      <c r="H89" s="211"/>
      <c r="I89" s="221"/>
      <c r="J89" s="211"/>
      <c r="K89" s="211"/>
      <c r="L89" s="211"/>
      <c r="M89" s="211"/>
      <c r="N89" s="211"/>
    </row>
    <row r="90" spans="1:22" ht="15.75" customHeight="1" x14ac:dyDescent="0.25">
      <c r="A90" s="229"/>
      <c r="B90" s="229" t="s">
        <v>2893</v>
      </c>
      <c r="C90" s="229"/>
      <c r="D90" s="221"/>
      <c r="E90" s="219"/>
      <c r="F90" s="213" t="s">
        <v>102</v>
      </c>
      <c r="G90" s="232" t="s">
        <v>2894</v>
      </c>
      <c r="H90" s="211"/>
      <c r="I90" s="221"/>
      <c r="J90" s="211"/>
      <c r="K90" s="211"/>
      <c r="L90" s="211"/>
      <c r="M90" s="211"/>
      <c r="N90" s="211"/>
    </row>
    <row r="91" spans="1:22" ht="15.75" customHeight="1" x14ac:dyDescent="0.25">
      <c r="A91" s="229"/>
      <c r="B91" s="229" t="s">
        <v>2895</v>
      </c>
      <c r="C91" s="229"/>
      <c r="D91" s="218"/>
      <c r="E91" s="219"/>
      <c r="F91" s="213" t="s">
        <v>2976</v>
      </c>
      <c r="G91" s="232" t="s">
        <v>2985</v>
      </c>
      <c r="H91" s="211"/>
      <c r="I91" s="221"/>
      <c r="J91" s="211"/>
      <c r="K91" s="211"/>
      <c r="L91" s="211"/>
      <c r="M91" s="211"/>
      <c r="N91" s="211"/>
    </row>
    <row r="92" spans="1:22" ht="15.75" customHeight="1" x14ac:dyDescent="0.25">
      <c r="A92" s="229"/>
      <c r="B92" s="229" t="s">
        <v>2896</v>
      </c>
      <c r="C92" s="229"/>
      <c r="D92" s="221"/>
      <c r="E92" s="219"/>
      <c r="F92" s="213" t="s">
        <v>2975</v>
      </c>
      <c r="G92" s="232" t="s">
        <v>2986</v>
      </c>
      <c r="H92" s="211"/>
      <c r="I92" s="221"/>
      <c r="J92" s="211"/>
      <c r="K92" s="211"/>
      <c r="L92" s="211"/>
      <c r="M92" s="211"/>
      <c r="N92" s="211"/>
    </row>
    <row r="93" spans="1:22" ht="15.75" customHeight="1" x14ac:dyDescent="0.25">
      <c r="A93" s="229"/>
      <c r="B93" s="229" t="s">
        <v>2989</v>
      </c>
      <c r="C93" s="229"/>
      <c r="D93" s="221"/>
      <c r="E93" s="219"/>
      <c r="F93" s="213" t="s">
        <v>2987</v>
      </c>
      <c r="G93" s="232" t="s">
        <v>2988</v>
      </c>
      <c r="H93" s="211"/>
      <c r="I93" s="221"/>
      <c r="J93" s="211"/>
      <c r="K93" s="211"/>
      <c r="L93" s="211"/>
      <c r="M93" s="211"/>
      <c r="N93" s="211"/>
    </row>
    <row r="94" spans="1:22" ht="15.75" customHeight="1" x14ac:dyDescent="0.25">
      <c r="A94" s="229"/>
      <c r="B94" s="229" t="s">
        <v>2898</v>
      </c>
      <c r="C94" s="229"/>
      <c r="D94" s="218"/>
      <c r="E94" s="219"/>
      <c r="F94" s="213" t="s">
        <v>104</v>
      </c>
      <c r="G94" s="232" t="s">
        <v>2897</v>
      </c>
      <c r="H94" s="211"/>
      <c r="I94" s="221"/>
      <c r="J94" s="211"/>
      <c r="K94" s="211"/>
      <c r="L94" s="211"/>
      <c r="M94" s="211"/>
      <c r="N94" s="211"/>
    </row>
    <row r="95" spans="1:22" ht="15.75" customHeight="1" x14ac:dyDescent="0.25">
      <c r="A95" s="229"/>
      <c r="B95" s="229"/>
      <c r="C95" s="229"/>
      <c r="D95" s="221"/>
      <c r="E95" s="221"/>
      <c r="F95" s="221"/>
      <c r="G95" s="231"/>
      <c r="H95" s="221"/>
      <c r="I95" s="221"/>
      <c r="J95" s="211"/>
      <c r="K95" s="211"/>
      <c r="L95" s="211"/>
      <c r="M95" s="211"/>
      <c r="N95" s="211"/>
    </row>
    <row r="96" spans="1:22" ht="66" customHeight="1" x14ac:dyDescent="0.25">
      <c r="A96" s="229"/>
      <c r="B96" s="229"/>
      <c r="C96" s="229"/>
      <c r="D96" s="414" t="s">
        <v>2924</v>
      </c>
      <c r="E96" s="414"/>
      <c r="F96" s="414"/>
      <c r="G96" s="414"/>
      <c r="H96" s="414"/>
      <c r="I96" s="414"/>
      <c r="J96" s="414"/>
      <c r="K96" s="414"/>
      <c r="L96" s="414"/>
      <c r="M96" s="414"/>
      <c r="N96" s="414"/>
    </row>
    <row r="97" spans="1:14" ht="15.75" customHeight="1" x14ac:dyDescent="0.25">
      <c r="A97" s="229"/>
      <c r="B97" s="229"/>
      <c r="C97" s="229"/>
      <c r="D97" s="211"/>
      <c r="E97" s="211"/>
      <c r="F97" s="211"/>
      <c r="G97" s="211"/>
      <c r="H97" s="211"/>
      <c r="I97" s="211"/>
      <c r="J97" s="211"/>
      <c r="K97" s="211"/>
      <c r="L97" s="211"/>
      <c r="M97" s="211"/>
      <c r="N97" s="211"/>
    </row>
    <row r="98" spans="1:14" ht="15.75" customHeight="1" x14ac:dyDescent="0.25">
      <c r="A98" s="229"/>
      <c r="B98" s="229" t="s">
        <v>2900</v>
      </c>
      <c r="C98" s="229"/>
      <c r="D98" s="222"/>
      <c r="E98" s="219"/>
      <c r="F98" s="213" t="s">
        <v>105</v>
      </c>
      <c r="G98" s="232" t="s">
        <v>2899</v>
      </c>
      <c r="H98" s="223"/>
      <c r="I98" s="224"/>
      <c r="J98" s="211"/>
      <c r="K98" s="211"/>
      <c r="L98" s="211"/>
      <c r="M98" s="211"/>
      <c r="N98" s="211"/>
    </row>
    <row r="99" spans="1:14" ht="15.75" customHeight="1" x14ac:dyDescent="0.25">
      <c r="A99" s="229"/>
      <c r="B99" s="229" t="s">
        <v>2901</v>
      </c>
      <c r="C99" s="229"/>
      <c r="D99" s="217"/>
      <c r="E99" s="219"/>
      <c r="F99" s="213" t="s">
        <v>106</v>
      </c>
      <c r="G99" s="232" t="s">
        <v>107</v>
      </c>
      <c r="H99" s="223"/>
      <c r="I99" s="224"/>
      <c r="J99" s="211"/>
      <c r="K99" s="211"/>
      <c r="L99" s="211"/>
      <c r="M99" s="211"/>
      <c r="N99" s="211"/>
    </row>
    <row r="100" spans="1:14" ht="15.75" customHeight="1" x14ac:dyDescent="0.25">
      <c r="A100" s="229"/>
      <c r="B100" s="229" t="s">
        <v>2902</v>
      </c>
      <c r="C100" s="229"/>
      <c r="D100" s="222"/>
      <c r="E100" s="219"/>
      <c r="F100" s="213" t="s">
        <v>108</v>
      </c>
      <c r="G100" s="232" t="s">
        <v>109</v>
      </c>
      <c r="H100" s="223"/>
      <c r="I100" s="224"/>
      <c r="J100" s="211"/>
      <c r="K100" s="211"/>
      <c r="L100" s="211"/>
      <c r="M100" s="211"/>
      <c r="N100" s="211"/>
    </row>
    <row r="101" spans="1:14" ht="15.75" customHeight="1" x14ac:dyDescent="0.25">
      <c r="A101" s="229"/>
      <c r="B101" s="229" t="s">
        <v>2997</v>
      </c>
      <c r="C101" s="229"/>
      <c r="D101" s="217"/>
      <c r="E101" s="219"/>
      <c r="F101" s="213" t="s">
        <v>110</v>
      </c>
      <c r="G101" s="232" t="s">
        <v>111</v>
      </c>
      <c r="H101" s="223"/>
      <c r="I101" s="224"/>
      <c r="J101" s="211"/>
      <c r="K101" s="211"/>
      <c r="L101" s="211"/>
      <c r="M101" s="211"/>
      <c r="N101" s="211"/>
    </row>
    <row r="102" spans="1:14" ht="15.75" customHeight="1" x14ac:dyDescent="0.25">
      <c r="A102" s="229"/>
      <c r="B102" s="229" t="s">
        <v>2998</v>
      </c>
      <c r="C102" s="229"/>
      <c r="D102" s="222"/>
      <c r="E102" s="219"/>
      <c r="F102" s="213" t="s">
        <v>112</v>
      </c>
      <c r="G102" s="232" t="s">
        <v>113</v>
      </c>
      <c r="H102" s="223"/>
      <c r="I102" s="224"/>
      <c r="J102" s="211"/>
      <c r="K102" s="211"/>
      <c r="L102" s="211"/>
      <c r="M102" s="211"/>
      <c r="N102" s="211"/>
    </row>
    <row r="103" spans="1:14" ht="15.75" customHeight="1" x14ac:dyDescent="0.25">
      <c r="A103" s="229"/>
      <c r="B103" s="229" t="s">
        <v>2999</v>
      </c>
      <c r="C103" s="229"/>
      <c r="D103" s="217"/>
      <c r="E103" s="219"/>
      <c r="F103" s="213" t="s">
        <v>114</v>
      </c>
      <c r="G103" s="232" t="s">
        <v>2990</v>
      </c>
      <c r="H103" s="223"/>
      <c r="I103" s="224"/>
      <c r="J103" s="211"/>
      <c r="K103" s="211"/>
      <c r="L103" s="211"/>
      <c r="M103" s="211"/>
      <c r="N103" s="211"/>
    </row>
    <row r="104" spans="1:14" ht="15.75" customHeight="1" x14ac:dyDescent="0.25">
      <c r="A104" s="229"/>
      <c r="B104" s="229" t="s">
        <v>3000</v>
      </c>
      <c r="C104" s="229"/>
      <c r="D104" s="217"/>
      <c r="E104" s="219"/>
      <c r="F104" s="213" t="s">
        <v>115</v>
      </c>
      <c r="G104" s="232" t="s">
        <v>2991</v>
      </c>
      <c r="H104" s="223"/>
      <c r="I104" s="224"/>
      <c r="J104" s="211"/>
      <c r="K104" s="211"/>
      <c r="L104" s="211"/>
      <c r="M104" s="211"/>
      <c r="N104" s="211"/>
    </row>
    <row r="105" spans="1:14" ht="15.75" customHeight="1" x14ac:dyDescent="0.25">
      <c r="A105" s="229"/>
      <c r="B105" s="229" t="s">
        <v>3001</v>
      </c>
      <c r="C105" s="229"/>
      <c r="D105" s="217"/>
      <c r="E105" s="219"/>
      <c r="F105" s="213" t="s">
        <v>116</v>
      </c>
      <c r="G105" s="232" t="s">
        <v>2992</v>
      </c>
      <c r="H105" s="223"/>
      <c r="I105" s="224"/>
      <c r="J105" s="211"/>
      <c r="K105" s="211"/>
      <c r="L105" s="211"/>
      <c r="M105" s="211"/>
      <c r="N105" s="211"/>
    </row>
    <row r="106" spans="1:14" ht="15.75" customHeight="1" x14ac:dyDescent="0.25">
      <c r="A106" s="229"/>
      <c r="B106" s="229" t="s">
        <v>3002</v>
      </c>
      <c r="C106" s="229"/>
      <c r="D106" s="217"/>
      <c r="E106" s="219"/>
      <c r="F106" s="213" t="s">
        <v>117</v>
      </c>
      <c r="G106" s="232" t="s">
        <v>2993</v>
      </c>
      <c r="H106" s="223"/>
      <c r="I106" s="224"/>
      <c r="J106" s="211"/>
      <c r="K106" s="211"/>
      <c r="L106" s="211"/>
      <c r="M106" s="211"/>
      <c r="N106" s="211"/>
    </row>
    <row r="107" spans="1:14" ht="15.75" customHeight="1" x14ac:dyDescent="0.25">
      <c r="A107" s="229"/>
      <c r="B107" s="229" t="s">
        <v>2903</v>
      </c>
      <c r="C107" s="229"/>
      <c r="D107" s="222"/>
      <c r="E107" s="219"/>
      <c r="F107" s="213" t="s">
        <v>118</v>
      </c>
      <c r="G107" s="232" t="s">
        <v>2994</v>
      </c>
      <c r="H107" s="223"/>
      <c r="I107" s="224"/>
      <c r="J107" s="211"/>
      <c r="K107" s="211"/>
      <c r="L107" s="211"/>
      <c r="M107" s="211"/>
      <c r="N107" s="211"/>
    </row>
    <row r="108" spans="1:14" ht="15.75" customHeight="1" x14ac:dyDescent="0.25">
      <c r="A108" s="229"/>
      <c r="B108" s="229" t="s">
        <v>2904</v>
      </c>
      <c r="C108" s="229"/>
      <c r="D108" s="217"/>
      <c r="E108" s="219"/>
      <c r="F108" s="213" t="s">
        <v>119</v>
      </c>
      <c r="G108" s="232" t="s">
        <v>2995</v>
      </c>
      <c r="H108" s="223"/>
      <c r="I108" s="224"/>
      <c r="J108" s="211"/>
      <c r="K108" s="211"/>
      <c r="L108" s="211"/>
      <c r="M108" s="211"/>
      <c r="N108" s="211"/>
    </row>
    <row r="109" spans="1:14" ht="15.75" customHeight="1" x14ac:dyDescent="0.25">
      <c r="A109" s="229"/>
      <c r="B109" s="229" t="s">
        <v>3003</v>
      </c>
      <c r="C109" s="229"/>
      <c r="D109" s="217"/>
      <c r="E109" s="219"/>
      <c r="F109" s="213" t="s">
        <v>2905</v>
      </c>
      <c r="G109" s="232" t="s">
        <v>2996</v>
      </c>
      <c r="H109" s="223"/>
      <c r="I109" s="224"/>
      <c r="J109" s="211"/>
      <c r="K109" s="211"/>
      <c r="L109" s="211"/>
      <c r="M109" s="211"/>
      <c r="N109" s="211"/>
    </row>
    <row r="110" spans="1:14" x14ac:dyDescent="0.25">
      <c r="A110" s="229"/>
      <c r="B110" s="229"/>
      <c r="C110" s="229"/>
      <c r="D110" s="211"/>
      <c r="E110" s="221"/>
      <c r="F110" s="221"/>
      <c r="G110" s="221"/>
      <c r="H110" s="221"/>
      <c r="I110" s="221"/>
      <c r="J110" s="211"/>
      <c r="K110" s="211"/>
      <c r="L110" s="211"/>
      <c r="M110" s="211"/>
      <c r="N110" s="211"/>
    </row>
    <row r="111" spans="1:14" x14ac:dyDescent="0.25">
      <c r="A111" s="229"/>
      <c r="B111" s="229"/>
      <c r="C111" s="229"/>
      <c r="D111" s="414" t="s">
        <v>2884</v>
      </c>
      <c r="E111" s="414"/>
      <c r="F111" s="414"/>
      <c r="G111" s="414"/>
      <c r="H111" s="414"/>
      <c r="I111" s="414"/>
      <c r="J111" s="414"/>
      <c r="K111" s="414"/>
      <c r="L111" s="414"/>
      <c r="M111" s="414"/>
      <c r="N111" s="414"/>
    </row>
    <row r="112" spans="1:14" x14ac:dyDescent="0.25">
      <c r="A112" s="229"/>
      <c r="B112" s="229"/>
      <c r="C112" s="229"/>
      <c r="D112" s="414"/>
      <c r="E112" s="414"/>
      <c r="F112" s="414"/>
      <c r="G112" s="414"/>
      <c r="H112" s="414"/>
      <c r="I112" s="414"/>
      <c r="J112" s="414"/>
      <c r="K112" s="414"/>
      <c r="L112" s="414"/>
      <c r="M112" s="414"/>
      <c r="N112" s="414"/>
    </row>
    <row r="113" spans="1:14" ht="66" customHeight="1" x14ac:dyDescent="0.25">
      <c r="A113" s="229"/>
      <c r="B113" s="229"/>
      <c r="C113" s="229"/>
      <c r="D113" s="212" t="s">
        <v>120</v>
      </c>
      <c r="E113" s="414" t="s">
        <v>121</v>
      </c>
      <c r="F113" s="414"/>
      <c r="G113" s="414"/>
      <c r="H113" s="414"/>
      <c r="I113" s="414"/>
      <c r="J113" s="414"/>
      <c r="K113" s="414"/>
      <c r="L113" s="414"/>
      <c r="M113" s="414"/>
      <c r="N113" s="414"/>
    </row>
    <row r="114" spans="1:14" x14ac:dyDescent="0.25">
      <c r="A114" s="229"/>
      <c r="B114" s="229"/>
      <c r="C114" s="229"/>
      <c r="D114" s="212"/>
      <c r="E114" s="211"/>
      <c r="F114" s="211"/>
      <c r="G114" s="211"/>
      <c r="H114" s="211"/>
      <c r="I114" s="211"/>
      <c r="J114" s="211"/>
      <c r="K114" s="211"/>
      <c r="L114" s="211"/>
      <c r="M114" s="211"/>
      <c r="N114" s="211"/>
    </row>
    <row r="115" spans="1:14" ht="51.95" customHeight="1" x14ac:dyDescent="0.25">
      <c r="A115" s="229"/>
      <c r="B115" s="229" t="s">
        <v>122</v>
      </c>
      <c r="C115" s="229"/>
      <c r="D115" s="212" t="s">
        <v>123</v>
      </c>
      <c r="E115" s="414" t="s">
        <v>2907</v>
      </c>
      <c r="F115" s="414"/>
      <c r="G115" s="414"/>
      <c r="H115" s="414"/>
      <c r="I115" s="414"/>
      <c r="J115" s="414"/>
      <c r="K115" s="414"/>
      <c r="L115" s="414"/>
      <c r="M115" s="414"/>
      <c r="N115" s="414"/>
    </row>
    <row r="116" spans="1:14" x14ac:dyDescent="0.25">
      <c r="A116" s="229"/>
      <c r="B116" s="229"/>
      <c r="C116" s="229"/>
      <c r="D116" s="212"/>
      <c r="E116" s="211"/>
      <c r="F116" s="211"/>
      <c r="G116" s="211"/>
      <c r="H116" s="211"/>
      <c r="I116" s="211"/>
      <c r="J116" s="211"/>
      <c r="K116" s="211"/>
      <c r="L116" s="211"/>
      <c r="M116" s="211"/>
      <c r="N116" s="211"/>
    </row>
    <row r="117" spans="1:14" ht="33.950000000000003" customHeight="1" x14ac:dyDescent="0.25">
      <c r="A117" s="229"/>
      <c r="B117" s="229" t="s">
        <v>124</v>
      </c>
      <c r="C117" s="229"/>
      <c r="D117" s="212" t="s">
        <v>125</v>
      </c>
      <c r="E117" s="414" t="s">
        <v>126</v>
      </c>
      <c r="F117" s="414"/>
      <c r="G117" s="414"/>
      <c r="H117" s="414"/>
      <c r="I117" s="414"/>
      <c r="J117" s="414"/>
      <c r="K117" s="414"/>
      <c r="L117" s="414"/>
      <c r="M117" s="414"/>
      <c r="N117" s="414"/>
    </row>
    <row r="118" spans="1:14" x14ac:dyDescent="0.25">
      <c r="A118" s="229"/>
      <c r="B118" s="229"/>
      <c r="C118" s="229"/>
      <c r="D118" s="212"/>
      <c r="E118" s="211"/>
      <c r="F118" s="211"/>
      <c r="G118" s="211"/>
      <c r="H118" s="211"/>
      <c r="I118" s="211"/>
      <c r="J118" s="211"/>
      <c r="K118" s="211"/>
      <c r="L118" s="211"/>
      <c r="M118" s="211"/>
      <c r="N118" s="211"/>
    </row>
    <row r="119" spans="1:14" ht="130.5" customHeight="1" x14ac:dyDescent="0.25">
      <c r="A119" s="229"/>
      <c r="B119" s="229" t="s">
        <v>127</v>
      </c>
      <c r="C119" s="229"/>
      <c r="D119" s="212" t="s">
        <v>128</v>
      </c>
      <c r="E119" s="414" t="s">
        <v>129</v>
      </c>
      <c r="F119" s="414"/>
      <c r="G119" s="414"/>
      <c r="H119" s="414"/>
      <c r="I119" s="414"/>
      <c r="J119" s="414"/>
      <c r="K119" s="414"/>
      <c r="L119" s="414"/>
      <c r="M119" s="414"/>
      <c r="N119" s="414"/>
    </row>
    <row r="120" spans="1:14" x14ac:dyDescent="0.25">
      <c r="A120" s="229"/>
      <c r="B120" s="229"/>
      <c r="C120" s="229"/>
      <c r="D120" s="212"/>
      <c r="E120" s="211"/>
      <c r="F120" s="211"/>
      <c r="G120" s="211"/>
      <c r="H120" s="211"/>
      <c r="I120" s="211"/>
      <c r="J120" s="211"/>
      <c r="K120" s="211"/>
      <c r="L120" s="211"/>
      <c r="M120" s="211"/>
      <c r="N120" s="211"/>
    </row>
    <row r="121" spans="1:14" ht="33.950000000000003" customHeight="1" x14ac:dyDescent="0.25">
      <c r="A121" s="229"/>
      <c r="B121" s="229" t="s">
        <v>130</v>
      </c>
      <c r="C121" s="229"/>
      <c r="D121" s="212" t="s">
        <v>131</v>
      </c>
      <c r="E121" s="414" t="s">
        <v>132</v>
      </c>
      <c r="F121" s="414"/>
      <c r="G121" s="414"/>
      <c r="H121" s="414"/>
      <c r="I121" s="414"/>
      <c r="J121" s="414"/>
      <c r="K121" s="414"/>
      <c r="L121" s="414"/>
      <c r="M121" s="414"/>
      <c r="N121" s="414"/>
    </row>
    <row r="122" spans="1:14" x14ac:dyDescent="0.25">
      <c r="A122" s="229"/>
      <c r="B122" s="229"/>
      <c r="C122" s="229"/>
      <c r="D122" s="212"/>
      <c r="E122" s="211"/>
      <c r="F122" s="211"/>
      <c r="G122" s="211"/>
      <c r="H122" s="211"/>
      <c r="I122" s="211"/>
      <c r="J122" s="211"/>
      <c r="K122" s="211"/>
      <c r="L122" s="211"/>
      <c r="M122" s="211"/>
      <c r="N122" s="211"/>
    </row>
    <row r="123" spans="1:14" x14ac:dyDescent="0.25">
      <c r="A123" s="229"/>
      <c r="B123" s="229" t="s">
        <v>133</v>
      </c>
      <c r="C123" s="229"/>
      <c r="D123" s="212" t="s">
        <v>134</v>
      </c>
      <c r="E123" s="414" t="s">
        <v>135</v>
      </c>
      <c r="F123" s="414"/>
      <c r="G123" s="414"/>
      <c r="H123" s="414"/>
      <c r="I123" s="414"/>
      <c r="J123" s="414"/>
      <c r="K123" s="414"/>
      <c r="L123" s="414"/>
      <c r="M123" s="414"/>
      <c r="N123" s="414"/>
    </row>
    <row r="124" spans="1:14" x14ac:dyDescent="0.25">
      <c r="A124" s="229"/>
      <c r="B124" s="229"/>
      <c r="C124" s="229"/>
      <c r="D124" s="212"/>
      <c r="E124" s="211"/>
      <c r="F124" s="211"/>
      <c r="G124" s="211"/>
      <c r="H124" s="211"/>
      <c r="I124" s="211"/>
      <c r="J124" s="211"/>
      <c r="K124" s="211"/>
      <c r="L124" s="211"/>
      <c r="M124" s="211"/>
      <c r="N124" s="211"/>
    </row>
    <row r="125" spans="1:14" x14ac:dyDescent="0.25">
      <c r="A125" s="229"/>
      <c r="B125" s="229"/>
      <c r="C125" s="229"/>
      <c r="D125" s="212"/>
      <c r="E125" s="211"/>
      <c r="F125" s="413" t="s">
        <v>136</v>
      </c>
      <c r="G125" s="413"/>
      <c r="H125" s="413"/>
      <c r="I125" s="413"/>
      <c r="J125" s="413"/>
      <c r="K125" s="413"/>
      <c r="L125" s="413"/>
      <c r="M125" s="413"/>
      <c r="N125" s="413"/>
    </row>
    <row r="126" spans="1:14" x14ac:dyDescent="0.25">
      <c r="A126" s="229"/>
      <c r="B126" s="229"/>
      <c r="C126" s="229"/>
      <c r="D126" s="212"/>
      <c r="E126" s="211"/>
      <c r="F126" s="413" t="s">
        <v>137</v>
      </c>
      <c r="G126" s="413"/>
      <c r="H126" s="413"/>
      <c r="I126" s="413"/>
      <c r="J126" s="413"/>
      <c r="K126" s="413"/>
      <c r="L126" s="413"/>
      <c r="M126" s="413"/>
      <c r="N126" s="413"/>
    </row>
    <row r="127" spans="1:14" x14ac:dyDescent="0.25">
      <c r="A127" s="229"/>
      <c r="B127" s="229"/>
      <c r="C127" s="229"/>
      <c r="D127" s="212"/>
      <c r="E127" s="211"/>
      <c r="F127" s="413" t="s">
        <v>138</v>
      </c>
      <c r="G127" s="413"/>
      <c r="H127" s="413"/>
      <c r="I127" s="413"/>
      <c r="J127" s="413"/>
      <c r="K127" s="413"/>
      <c r="L127" s="413"/>
      <c r="M127" s="413"/>
      <c r="N127" s="413"/>
    </row>
    <row r="128" spans="1:14" x14ac:dyDescent="0.25">
      <c r="A128" s="229"/>
      <c r="B128" s="229"/>
      <c r="C128" s="229"/>
      <c r="D128" s="212"/>
      <c r="E128" s="211"/>
      <c r="F128" s="413" t="s">
        <v>139</v>
      </c>
      <c r="G128" s="413"/>
      <c r="H128" s="413"/>
      <c r="I128" s="413"/>
      <c r="J128" s="413"/>
      <c r="K128" s="413"/>
      <c r="L128" s="413"/>
      <c r="M128" s="413"/>
      <c r="N128" s="413"/>
    </row>
    <row r="129" spans="1:14" x14ac:dyDescent="0.25">
      <c r="A129" s="229"/>
      <c r="B129" s="229"/>
      <c r="C129" s="229"/>
      <c r="D129" s="212"/>
      <c r="E129" s="211"/>
      <c r="F129" s="413" t="s">
        <v>140</v>
      </c>
      <c r="G129" s="413"/>
      <c r="H129" s="413"/>
      <c r="I129" s="413"/>
      <c r="J129" s="413"/>
      <c r="K129" s="413"/>
      <c r="L129" s="413"/>
      <c r="M129" s="413"/>
      <c r="N129" s="413"/>
    </row>
    <row r="130" spans="1:14" x14ac:dyDescent="0.25">
      <c r="A130" s="229"/>
      <c r="B130" s="229"/>
      <c r="C130" s="229"/>
      <c r="D130" s="212"/>
      <c r="E130" s="211"/>
      <c r="F130" s="413" t="s">
        <v>141</v>
      </c>
      <c r="G130" s="413"/>
      <c r="H130" s="413"/>
      <c r="I130" s="413"/>
      <c r="J130" s="413"/>
      <c r="K130" s="413"/>
      <c r="L130" s="413"/>
      <c r="M130" s="413"/>
      <c r="N130" s="413"/>
    </row>
    <row r="131" spans="1:14" x14ac:dyDescent="0.25">
      <c r="A131" s="229"/>
      <c r="B131" s="229"/>
      <c r="C131" s="229"/>
      <c r="D131" s="212"/>
      <c r="E131" s="211"/>
      <c r="F131" s="413" t="s">
        <v>142</v>
      </c>
      <c r="G131" s="413"/>
      <c r="H131" s="413"/>
      <c r="I131" s="413"/>
      <c r="J131" s="413"/>
      <c r="K131" s="413"/>
      <c r="L131" s="413"/>
      <c r="M131" s="413"/>
      <c r="N131" s="413"/>
    </row>
    <row r="132" spans="1:14" x14ac:dyDescent="0.25">
      <c r="A132" s="229"/>
      <c r="B132" s="229"/>
      <c r="C132" s="229"/>
      <c r="D132" s="212"/>
      <c r="E132" s="211"/>
      <c r="F132" s="413" t="s">
        <v>143</v>
      </c>
      <c r="G132" s="413"/>
      <c r="H132" s="413"/>
      <c r="I132" s="413"/>
      <c r="J132" s="413"/>
      <c r="K132" s="413"/>
      <c r="L132" s="413"/>
      <c r="M132" s="413"/>
      <c r="N132" s="413"/>
    </row>
    <row r="133" spans="1:14" x14ac:dyDescent="0.25">
      <c r="A133" s="229"/>
      <c r="B133" s="229"/>
      <c r="C133" s="229"/>
      <c r="D133" s="212"/>
      <c r="E133" s="211"/>
      <c r="F133" s="413" t="s">
        <v>144</v>
      </c>
      <c r="G133" s="413"/>
      <c r="H133" s="413"/>
      <c r="I133" s="413"/>
      <c r="J133" s="413"/>
      <c r="K133" s="413"/>
      <c r="L133" s="413"/>
      <c r="M133" s="413"/>
      <c r="N133" s="413"/>
    </row>
    <row r="134" spans="1:14" x14ac:dyDescent="0.25">
      <c r="A134" s="229"/>
      <c r="B134" s="229"/>
      <c r="C134" s="229"/>
      <c r="D134" s="212"/>
      <c r="E134" s="211"/>
      <c r="F134" s="413" t="s">
        <v>145</v>
      </c>
      <c r="G134" s="413"/>
      <c r="H134" s="413"/>
      <c r="I134" s="413"/>
      <c r="J134" s="413"/>
      <c r="K134" s="413"/>
      <c r="L134" s="413"/>
      <c r="M134" s="413"/>
      <c r="N134" s="413"/>
    </row>
    <row r="135" spans="1:14" x14ac:dyDescent="0.25">
      <c r="A135" s="229"/>
      <c r="B135" s="229"/>
      <c r="C135" s="229"/>
      <c r="D135" s="212"/>
      <c r="E135" s="211"/>
      <c r="F135" s="413" t="s">
        <v>146</v>
      </c>
      <c r="G135" s="413"/>
      <c r="H135" s="413"/>
      <c r="I135" s="413"/>
      <c r="J135" s="413"/>
      <c r="K135" s="413"/>
      <c r="L135" s="413"/>
      <c r="M135" s="413"/>
      <c r="N135" s="413"/>
    </row>
    <row r="136" spans="1:14" x14ac:dyDescent="0.25">
      <c r="A136" s="229"/>
      <c r="B136" s="229"/>
      <c r="C136" s="229"/>
      <c r="D136" s="212"/>
      <c r="E136" s="211"/>
      <c r="F136" s="413" t="s">
        <v>147</v>
      </c>
      <c r="G136" s="413"/>
      <c r="H136" s="413"/>
      <c r="I136" s="413"/>
      <c r="J136" s="413"/>
      <c r="K136" s="413"/>
      <c r="L136" s="413"/>
      <c r="M136" s="413"/>
      <c r="N136" s="413"/>
    </row>
    <row r="137" spans="1:14" x14ac:dyDescent="0.25">
      <c r="A137" s="229"/>
      <c r="B137" s="229"/>
      <c r="C137" s="229"/>
      <c r="D137" s="212"/>
      <c r="E137" s="211"/>
      <c r="F137" s="413" t="s">
        <v>148</v>
      </c>
      <c r="G137" s="413"/>
      <c r="H137" s="413"/>
      <c r="I137" s="413"/>
      <c r="J137" s="413"/>
      <c r="K137" s="413"/>
      <c r="L137" s="413"/>
      <c r="M137" s="413"/>
      <c r="N137" s="413"/>
    </row>
    <row r="138" spans="1:14" x14ac:dyDescent="0.25">
      <c r="A138" s="229"/>
      <c r="B138" s="229"/>
      <c r="C138" s="229"/>
      <c r="D138" s="212"/>
      <c r="E138" s="211"/>
      <c r="F138" s="413" t="s">
        <v>149</v>
      </c>
      <c r="G138" s="413"/>
      <c r="H138" s="413"/>
      <c r="I138" s="413"/>
      <c r="J138" s="413"/>
      <c r="K138" s="413"/>
      <c r="L138" s="413"/>
      <c r="M138" s="413"/>
      <c r="N138" s="413"/>
    </row>
    <row r="139" spans="1:14" x14ac:dyDescent="0.25">
      <c r="A139" s="229"/>
      <c r="B139" s="229"/>
      <c r="C139" s="229"/>
      <c r="D139" s="212"/>
      <c r="E139" s="211"/>
      <c r="F139" s="211"/>
      <c r="G139" s="211"/>
      <c r="H139" s="211"/>
      <c r="I139" s="211"/>
      <c r="J139" s="211"/>
      <c r="K139" s="211"/>
      <c r="L139" s="211"/>
      <c r="M139" s="211"/>
      <c r="N139" s="211"/>
    </row>
    <row r="140" spans="1:14" ht="48" customHeight="1" x14ac:dyDescent="0.25">
      <c r="A140" s="229"/>
      <c r="B140" s="229" t="s">
        <v>150</v>
      </c>
      <c r="C140" s="229"/>
      <c r="D140" s="212" t="s">
        <v>151</v>
      </c>
      <c r="E140" s="414" t="s">
        <v>152</v>
      </c>
      <c r="F140" s="414"/>
      <c r="G140" s="414"/>
      <c r="H140" s="414"/>
      <c r="I140" s="414"/>
      <c r="J140" s="414"/>
      <c r="K140" s="414"/>
      <c r="L140" s="414"/>
      <c r="M140" s="414"/>
      <c r="N140" s="414"/>
    </row>
    <row r="141" spans="1:14" x14ac:dyDescent="0.25">
      <c r="A141" s="229"/>
      <c r="B141" s="229"/>
      <c r="C141" s="229"/>
      <c r="D141" s="212"/>
      <c r="E141" s="211"/>
      <c r="F141" s="211"/>
      <c r="G141" s="211"/>
      <c r="H141" s="211"/>
      <c r="I141" s="211"/>
      <c r="J141" s="211"/>
      <c r="K141" s="211"/>
      <c r="L141" s="211"/>
      <c r="M141" s="211"/>
      <c r="N141" s="211"/>
    </row>
    <row r="142" spans="1:14" ht="33.950000000000003" customHeight="1" x14ac:dyDescent="0.25">
      <c r="A142" s="229"/>
      <c r="B142" s="229" t="s">
        <v>153</v>
      </c>
      <c r="C142" s="229"/>
      <c r="D142" s="212" t="s">
        <v>154</v>
      </c>
      <c r="E142" s="414" t="s">
        <v>155</v>
      </c>
      <c r="F142" s="414"/>
      <c r="G142" s="414"/>
      <c r="H142" s="414"/>
      <c r="I142" s="414"/>
      <c r="J142" s="414"/>
      <c r="K142" s="414"/>
      <c r="L142" s="414"/>
      <c r="M142" s="414"/>
      <c r="N142" s="414"/>
    </row>
    <row r="143" spans="1:14" x14ac:dyDescent="0.25">
      <c r="A143" s="229"/>
      <c r="B143" s="229"/>
      <c r="C143" s="229"/>
      <c r="D143" s="212"/>
      <c r="E143" s="211"/>
      <c r="F143" s="211"/>
      <c r="G143" s="211"/>
      <c r="H143" s="211"/>
      <c r="I143" s="211"/>
      <c r="J143" s="211"/>
      <c r="K143" s="211"/>
      <c r="L143" s="211"/>
      <c r="M143" s="211"/>
      <c r="N143" s="211"/>
    </row>
    <row r="144" spans="1:14" ht="15" customHeight="1" x14ac:dyDescent="0.25">
      <c r="A144" s="229"/>
      <c r="B144" s="229" t="s">
        <v>156</v>
      </c>
      <c r="C144" s="229"/>
      <c r="D144" s="212" t="s">
        <v>157</v>
      </c>
      <c r="E144" s="414" t="s">
        <v>158</v>
      </c>
      <c r="F144" s="414"/>
      <c r="G144" s="414"/>
      <c r="H144" s="414"/>
      <c r="I144" s="414"/>
      <c r="J144" s="414"/>
      <c r="K144" s="414"/>
      <c r="L144" s="414"/>
      <c r="M144" s="414"/>
      <c r="N144" s="414"/>
    </row>
    <row r="145" spans="1:22" x14ac:dyDescent="0.25">
      <c r="A145" s="229"/>
      <c r="B145" s="229"/>
      <c r="C145" s="229"/>
      <c r="D145" s="211"/>
      <c r="E145" s="211"/>
      <c r="F145" s="211"/>
      <c r="G145" s="211"/>
      <c r="H145" s="211"/>
      <c r="I145" s="211"/>
      <c r="J145" s="211"/>
      <c r="K145" s="211"/>
      <c r="L145" s="211"/>
      <c r="M145" s="211"/>
      <c r="N145" s="211"/>
    </row>
    <row r="146" spans="1:22" ht="38.1" customHeight="1" x14ac:dyDescent="0.25">
      <c r="A146" s="229"/>
      <c r="B146" s="229" t="s">
        <v>159</v>
      </c>
      <c r="C146" s="229"/>
      <c r="D146" s="212" t="s">
        <v>160</v>
      </c>
      <c r="E146" s="414" t="s">
        <v>161</v>
      </c>
      <c r="F146" s="414"/>
      <c r="G146" s="414"/>
      <c r="H146" s="414"/>
      <c r="I146" s="414"/>
      <c r="J146" s="414"/>
      <c r="K146" s="414"/>
      <c r="L146" s="414"/>
      <c r="M146" s="414"/>
      <c r="N146" s="414"/>
    </row>
    <row r="147" spans="1:22" x14ac:dyDescent="0.25">
      <c r="A147" s="229"/>
      <c r="B147" s="229"/>
      <c r="C147" s="229"/>
      <c r="D147" s="211"/>
      <c r="E147" s="211"/>
      <c r="F147" s="211"/>
      <c r="G147" s="211"/>
      <c r="H147" s="211"/>
      <c r="I147" s="211"/>
      <c r="J147" s="211"/>
      <c r="K147" s="211"/>
      <c r="L147" s="211"/>
      <c r="M147" s="211"/>
      <c r="N147" s="211"/>
    </row>
    <row r="148" spans="1:22" ht="33.950000000000003" customHeight="1" x14ac:dyDescent="0.25">
      <c r="A148" s="229"/>
      <c r="B148" s="229"/>
      <c r="C148" s="229"/>
      <c r="D148" s="212" t="s">
        <v>162</v>
      </c>
      <c r="E148" s="414" t="s">
        <v>163</v>
      </c>
      <c r="F148" s="414"/>
      <c r="G148" s="414"/>
      <c r="H148" s="414"/>
      <c r="I148" s="414"/>
      <c r="J148" s="414"/>
      <c r="K148" s="414"/>
      <c r="L148" s="414"/>
      <c r="M148" s="414"/>
      <c r="N148" s="414"/>
    </row>
    <row r="149" spans="1:22" x14ac:dyDescent="0.25">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row>
    <row r="151" spans="1:22" x14ac:dyDescent="0.25">
      <c r="B151" s="206" t="s">
        <v>164</v>
      </c>
    </row>
    <row r="152" spans="1:22" x14ac:dyDescent="0.25">
      <c r="C152" s="412" t="s">
        <v>165</v>
      </c>
      <c r="D152" s="412"/>
      <c r="E152" s="412"/>
      <c r="F152" s="412"/>
      <c r="G152" s="412"/>
      <c r="H152" s="412"/>
      <c r="I152" s="412"/>
      <c r="J152" s="412"/>
      <c r="K152" s="412"/>
      <c r="L152" s="412"/>
      <c r="M152" s="412"/>
      <c r="N152" s="412"/>
    </row>
    <row r="153" spans="1:22" x14ac:dyDescent="0.25">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row>
    <row r="155" spans="1:22" x14ac:dyDescent="0.25">
      <c r="B155" s="206" t="s">
        <v>166</v>
      </c>
    </row>
    <row r="156" spans="1:22" ht="33.950000000000003" customHeight="1" x14ac:dyDescent="0.25">
      <c r="C156" s="412" t="s">
        <v>167</v>
      </c>
      <c r="D156" s="412"/>
      <c r="E156" s="412"/>
      <c r="F156" s="412"/>
      <c r="G156" s="412"/>
      <c r="H156" s="412"/>
      <c r="I156" s="412"/>
      <c r="J156" s="412"/>
      <c r="K156" s="412"/>
      <c r="L156" s="412"/>
      <c r="M156" s="412"/>
      <c r="N156" s="412"/>
    </row>
    <row r="157" spans="1:22" ht="16.5" thickBot="1" x14ac:dyDescent="0.3">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row>
    <row r="160" spans="1:22" s="173" customFormat="1" x14ac:dyDescent="0.25">
      <c r="A160" s="225"/>
      <c r="B160" s="226" t="s">
        <v>168</v>
      </c>
      <c r="C160" s="226"/>
      <c r="D160" s="227"/>
      <c r="E160" s="220" t="s">
        <v>169</v>
      </c>
      <c r="F160" s="228"/>
      <c r="G160" s="228"/>
      <c r="H160" s="228"/>
      <c r="I160" s="228"/>
      <c r="J160" s="228"/>
      <c r="K160" s="228"/>
      <c r="L160" s="228"/>
      <c r="M160" s="228"/>
      <c r="N160" s="228"/>
      <c r="O160" s="225"/>
      <c r="P160" s="225"/>
      <c r="Q160" s="225"/>
      <c r="R160" s="225"/>
      <c r="S160" s="225"/>
      <c r="T160" s="225"/>
      <c r="U160" s="225"/>
      <c r="V160" s="225"/>
    </row>
    <row r="161" spans="1:22" s="173" customFormat="1" x14ac:dyDescent="0.25">
      <c r="A161" s="225"/>
      <c r="B161" s="226" t="s">
        <v>170</v>
      </c>
      <c r="C161" s="226"/>
      <c r="D161" s="226"/>
      <c r="E161" s="226" t="s">
        <v>171</v>
      </c>
      <c r="F161" s="225"/>
      <c r="G161" s="225"/>
      <c r="H161" s="225"/>
      <c r="I161" s="225"/>
      <c r="J161" s="225"/>
      <c r="K161" s="225"/>
      <c r="L161" s="225"/>
      <c r="M161" s="225"/>
      <c r="N161" s="225"/>
      <c r="O161" s="225"/>
      <c r="P161" s="225"/>
      <c r="Q161" s="225"/>
      <c r="R161" s="225"/>
      <c r="S161" s="225"/>
      <c r="T161" s="225"/>
      <c r="U161" s="225"/>
      <c r="V161" s="225"/>
    </row>
    <row r="162" spans="1:22" s="173" customFormat="1" x14ac:dyDescent="0.25">
      <c r="A162" s="225"/>
      <c r="B162" s="226" t="s">
        <v>172</v>
      </c>
      <c r="C162" s="226"/>
      <c r="D162" s="226"/>
      <c r="E162" s="226" t="s">
        <v>173</v>
      </c>
      <c r="F162" s="225"/>
      <c r="G162" s="225"/>
      <c r="H162" s="225"/>
      <c r="I162" s="225"/>
      <c r="J162" s="225"/>
      <c r="K162" s="225"/>
      <c r="L162" s="225"/>
      <c r="M162" s="225"/>
      <c r="N162" s="225"/>
      <c r="O162" s="225"/>
      <c r="P162" s="225"/>
      <c r="Q162" s="225"/>
      <c r="R162" s="225"/>
      <c r="S162" s="225"/>
      <c r="T162" s="225"/>
      <c r="U162" s="225"/>
      <c r="V162" s="225"/>
    </row>
    <row r="163" spans="1:22" s="173" customFormat="1" x14ac:dyDescent="0.25">
      <c r="A163" s="225"/>
      <c r="B163" s="226" t="s">
        <v>174</v>
      </c>
      <c r="C163" s="226"/>
      <c r="D163" s="226"/>
      <c r="E163" s="226" t="s">
        <v>175</v>
      </c>
      <c r="F163" s="225"/>
      <c r="G163" s="225"/>
      <c r="H163" s="225"/>
      <c r="I163" s="225"/>
      <c r="J163" s="225"/>
      <c r="K163" s="225"/>
      <c r="L163" s="225"/>
      <c r="M163" s="225"/>
      <c r="N163" s="225"/>
      <c r="O163" s="225"/>
      <c r="P163" s="225"/>
      <c r="Q163" s="225"/>
      <c r="R163" s="225"/>
      <c r="S163" s="225"/>
      <c r="T163" s="225"/>
      <c r="U163" s="225"/>
      <c r="V163" s="225"/>
    </row>
    <row r="164" spans="1:22" s="173" customFormat="1" x14ac:dyDescent="0.25">
      <c r="A164" s="225"/>
      <c r="B164" s="226" t="s">
        <v>176</v>
      </c>
      <c r="C164" s="226"/>
      <c r="D164" s="226"/>
      <c r="E164" s="226" t="s">
        <v>177</v>
      </c>
      <c r="F164" s="225"/>
      <c r="G164" s="225"/>
      <c r="H164" s="225"/>
      <c r="I164" s="225"/>
      <c r="J164" s="225"/>
      <c r="K164" s="225"/>
      <c r="L164" s="225"/>
      <c r="M164" s="225"/>
      <c r="N164" s="225"/>
      <c r="O164" s="225"/>
      <c r="P164" s="225"/>
      <c r="Q164" s="225"/>
      <c r="R164" s="225"/>
      <c r="S164" s="225"/>
      <c r="T164" s="225"/>
      <c r="U164" s="225"/>
      <c r="V164" s="225"/>
    </row>
    <row r="165" spans="1:22" s="173" customFormat="1" x14ac:dyDescent="0.25">
      <c r="A165" s="225"/>
      <c r="B165" s="226" t="s">
        <v>178</v>
      </c>
      <c r="C165" s="226"/>
      <c r="D165" s="226"/>
      <c r="E165" s="226" t="s">
        <v>179</v>
      </c>
      <c r="F165" s="225"/>
      <c r="G165" s="225"/>
      <c r="H165" s="225"/>
      <c r="I165" s="225"/>
      <c r="J165" s="225"/>
      <c r="K165" s="225"/>
      <c r="L165" s="225"/>
      <c r="M165" s="225"/>
      <c r="N165" s="225"/>
      <c r="O165" s="225"/>
      <c r="P165" s="225"/>
      <c r="Q165" s="225"/>
      <c r="R165" s="225"/>
      <c r="S165" s="225"/>
      <c r="T165" s="225"/>
      <c r="U165" s="225"/>
      <c r="V165" s="225"/>
    </row>
    <row r="166" spans="1:22" s="173" customFormat="1" x14ac:dyDescent="0.25">
      <c r="A166" s="225"/>
      <c r="B166" s="226" t="s">
        <v>180</v>
      </c>
      <c r="C166" s="226"/>
      <c r="D166" s="226"/>
      <c r="E166" s="226" t="s">
        <v>181</v>
      </c>
      <c r="F166" s="225"/>
      <c r="G166" s="225"/>
      <c r="H166" s="225"/>
      <c r="I166" s="225"/>
      <c r="J166" s="225"/>
      <c r="K166" s="225"/>
      <c r="L166" s="225"/>
      <c r="M166" s="225"/>
      <c r="N166" s="225"/>
      <c r="O166" s="225"/>
      <c r="P166" s="225"/>
      <c r="Q166" s="225"/>
      <c r="R166" s="225"/>
      <c r="S166" s="225"/>
      <c r="T166" s="225"/>
      <c r="U166" s="225"/>
      <c r="V166" s="225"/>
    </row>
    <row r="167" spans="1:22" s="173" customFormat="1" x14ac:dyDescent="0.25">
      <c r="A167" s="225"/>
      <c r="B167" s="226" t="s">
        <v>182</v>
      </c>
      <c r="C167" s="226"/>
      <c r="D167" s="226"/>
      <c r="E167" s="226" t="s">
        <v>183</v>
      </c>
      <c r="F167" s="225"/>
      <c r="G167" s="225"/>
      <c r="H167" s="225"/>
      <c r="I167" s="225"/>
      <c r="J167" s="225"/>
      <c r="K167" s="225"/>
      <c r="L167" s="225"/>
      <c r="M167" s="225"/>
      <c r="N167" s="225"/>
      <c r="O167" s="225"/>
      <c r="P167" s="225"/>
      <c r="Q167" s="225"/>
      <c r="R167" s="225"/>
      <c r="S167" s="225"/>
      <c r="T167" s="225"/>
      <c r="U167" s="225"/>
      <c r="V167" s="225"/>
    </row>
    <row r="168" spans="1:22" s="173" customFormat="1" x14ac:dyDescent="0.25">
      <c r="A168" s="225"/>
      <c r="B168" s="226" t="s">
        <v>184</v>
      </c>
      <c r="C168" s="226"/>
      <c r="D168" s="226"/>
      <c r="E168" s="226" t="s">
        <v>185</v>
      </c>
      <c r="F168" s="225"/>
      <c r="G168" s="225"/>
      <c r="H168" s="225"/>
      <c r="I168" s="225"/>
      <c r="J168" s="225"/>
      <c r="K168" s="225"/>
      <c r="L168" s="225"/>
      <c r="M168" s="225"/>
      <c r="N168" s="225"/>
      <c r="O168" s="225"/>
      <c r="P168" s="225"/>
      <c r="Q168" s="225"/>
      <c r="R168" s="225"/>
      <c r="S168" s="225"/>
      <c r="T168" s="225"/>
      <c r="U168" s="225"/>
      <c r="V168" s="225"/>
    </row>
    <row r="169" spans="1:22" s="173" customFormat="1" x14ac:dyDescent="0.25">
      <c r="A169" s="225"/>
      <c r="B169" s="226" t="s">
        <v>186</v>
      </c>
      <c r="C169" s="226"/>
      <c r="D169" s="226"/>
      <c r="E169" s="226" t="s">
        <v>187</v>
      </c>
      <c r="F169" s="225"/>
      <c r="G169" s="225"/>
      <c r="H169" s="225"/>
      <c r="I169" s="225"/>
      <c r="J169" s="225"/>
      <c r="K169" s="225"/>
      <c r="L169" s="225"/>
      <c r="M169" s="225"/>
      <c r="N169" s="225"/>
      <c r="O169" s="225"/>
      <c r="P169" s="225"/>
      <c r="Q169" s="225"/>
      <c r="R169" s="225"/>
      <c r="S169" s="225"/>
      <c r="T169" s="225"/>
      <c r="U169" s="225"/>
      <c r="V169" s="225"/>
    </row>
    <row r="170" spans="1:22" s="173" customFormat="1" x14ac:dyDescent="0.25">
      <c r="A170" s="225"/>
      <c r="B170" s="226" t="s">
        <v>188</v>
      </c>
      <c r="C170" s="226"/>
      <c r="D170" s="226"/>
      <c r="E170" s="226" t="s">
        <v>189</v>
      </c>
      <c r="F170" s="225"/>
      <c r="G170" s="225"/>
      <c r="H170" s="225"/>
      <c r="I170" s="225"/>
      <c r="J170" s="225"/>
      <c r="K170" s="225"/>
      <c r="L170" s="225"/>
      <c r="M170" s="225"/>
      <c r="N170" s="225"/>
      <c r="O170" s="225"/>
      <c r="P170" s="225"/>
      <c r="Q170" s="225"/>
      <c r="R170" s="225"/>
      <c r="S170" s="225"/>
      <c r="T170" s="225"/>
      <c r="U170" s="225"/>
      <c r="V170" s="225"/>
    </row>
    <row r="171" spans="1:22" s="173" customFormat="1" x14ac:dyDescent="0.25">
      <c r="A171" s="225"/>
      <c r="B171" s="226" t="s">
        <v>190</v>
      </c>
      <c r="C171" s="226"/>
      <c r="D171" s="226"/>
      <c r="E171" s="226" t="s">
        <v>191</v>
      </c>
      <c r="F171" s="225"/>
      <c r="G171" s="225"/>
      <c r="H171" s="225"/>
      <c r="I171" s="225"/>
      <c r="J171" s="225"/>
      <c r="K171" s="225"/>
      <c r="L171" s="225"/>
      <c r="M171" s="225"/>
      <c r="N171" s="225"/>
      <c r="O171" s="225"/>
      <c r="P171" s="225"/>
      <c r="Q171" s="225"/>
      <c r="R171" s="225"/>
      <c r="S171" s="225"/>
      <c r="T171" s="225"/>
      <c r="U171" s="225"/>
      <c r="V171" s="225"/>
    </row>
    <row r="172" spans="1:22" s="173" customFormat="1" x14ac:dyDescent="0.25">
      <c r="A172" s="225"/>
      <c r="B172" s="226" t="s">
        <v>192</v>
      </c>
      <c r="C172" s="226"/>
      <c r="D172" s="226"/>
      <c r="E172" s="226" t="s">
        <v>193</v>
      </c>
      <c r="F172" s="225"/>
      <c r="G172" s="225"/>
      <c r="H172" s="225"/>
      <c r="I172" s="225"/>
      <c r="J172" s="225"/>
      <c r="K172" s="225"/>
      <c r="L172" s="225"/>
      <c r="M172" s="225"/>
      <c r="N172" s="225"/>
      <c r="O172" s="225"/>
      <c r="P172" s="225"/>
      <c r="Q172" s="225"/>
      <c r="R172" s="225"/>
      <c r="S172" s="225"/>
      <c r="T172" s="225"/>
      <c r="U172" s="225"/>
      <c r="V172" s="225"/>
    </row>
    <row r="173" spans="1:22" s="173" customFormat="1" x14ac:dyDescent="0.25">
      <c r="A173" s="225"/>
      <c r="B173" s="226" t="s">
        <v>194</v>
      </c>
      <c r="C173" s="226"/>
      <c r="D173" s="226"/>
      <c r="E173" s="226" t="s">
        <v>195</v>
      </c>
      <c r="F173" s="225"/>
      <c r="G173" s="225"/>
      <c r="H173" s="225"/>
      <c r="I173" s="225"/>
      <c r="J173" s="225"/>
      <c r="K173" s="225"/>
      <c r="L173" s="225"/>
      <c r="M173" s="225"/>
      <c r="N173" s="225"/>
      <c r="O173" s="225"/>
      <c r="P173" s="225"/>
      <c r="Q173" s="225"/>
      <c r="R173" s="225"/>
      <c r="S173" s="225"/>
      <c r="T173" s="225"/>
      <c r="U173" s="225"/>
      <c r="V173" s="225"/>
    </row>
    <row r="174" spans="1:22" s="173" customFormat="1" x14ac:dyDescent="0.25">
      <c r="A174" s="225"/>
      <c r="B174" s="226" t="s">
        <v>196</v>
      </c>
      <c r="C174" s="226"/>
      <c r="D174" s="226"/>
      <c r="E174" s="226" t="s">
        <v>197</v>
      </c>
      <c r="F174" s="225"/>
      <c r="G174" s="225"/>
      <c r="H174" s="225"/>
      <c r="I174" s="225"/>
      <c r="J174" s="225"/>
      <c r="K174" s="225"/>
      <c r="L174" s="225"/>
      <c r="M174" s="225"/>
      <c r="N174" s="225"/>
      <c r="O174" s="225"/>
      <c r="P174" s="225"/>
      <c r="Q174" s="225"/>
      <c r="R174" s="225"/>
      <c r="S174" s="225"/>
      <c r="T174" s="225"/>
      <c r="U174" s="225"/>
      <c r="V174" s="225"/>
    </row>
    <row r="175" spans="1:22" s="173" customFormat="1" x14ac:dyDescent="0.25">
      <c r="A175" s="225"/>
      <c r="B175" s="226" t="s">
        <v>198</v>
      </c>
      <c r="C175" s="226"/>
      <c r="D175" s="226"/>
      <c r="E175" s="226" t="s">
        <v>199</v>
      </c>
      <c r="F175" s="225"/>
      <c r="G175" s="225"/>
      <c r="H175" s="225"/>
      <c r="I175" s="225"/>
      <c r="J175" s="225"/>
      <c r="K175" s="225"/>
      <c r="L175" s="225"/>
      <c r="M175" s="225"/>
      <c r="N175" s="225"/>
      <c r="O175" s="225"/>
      <c r="P175" s="225"/>
      <c r="Q175" s="225"/>
      <c r="R175" s="225"/>
      <c r="S175" s="225"/>
      <c r="T175" s="225"/>
      <c r="U175" s="225"/>
      <c r="V175" s="225"/>
    </row>
    <row r="176" spans="1:22" s="173" customFormat="1" x14ac:dyDescent="0.25">
      <c r="A176" s="225"/>
      <c r="B176" s="226" t="s">
        <v>200</v>
      </c>
      <c r="C176" s="226"/>
      <c r="D176" s="226"/>
      <c r="E176" s="226" t="s">
        <v>201</v>
      </c>
      <c r="F176" s="225"/>
      <c r="G176" s="225"/>
      <c r="H176" s="225"/>
      <c r="I176" s="225"/>
      <c r="J176" s="225"/>
      <c r="K176" s="225"/>
      <c r="L176" s="225"/>
      <c r="M176" s="225"/>
      <c r="N176" s="225"/>
      <c r="O176" s="225"/>
      <c r="P176" s="225"/>
      <c r="Q176" s="225"/>
      <c r="R176" s="225"/>
      <c r="S176" s="225"/>
      <c r="T176" s="225"/>
      <c r="U176" s="225"/>
      <c r="V176" s="225"/>
    </row>
    <row r="177" spans="1:22" s="173" customFormat="1" x14ac:dyDescent="0.25">
      <c r="A177" s="225"/>
      <c r="B177" s="226" t="s">
        <v>202</v>
      </c>
      <c r="C177" s="226"/>
      <c r="D177" s="226"/>
      <c r="E177" s="226" t="s">
        <v>203</v>
      </c>
      <c r="F177" s="225"/>
      <c r="G177" s="225"/>
      <c r="H177" s="225"/>
      <c r="I177" s="225"/>
      <c r="J177" s="225"/>
      <c r="K177" s="225"/>
      <c r="L177" s="225"/>
      <c r="M177" s="225"/>
      <c r="N177" s="225"/>
      <c r="O177" s="225"/>
      <c r="P177" s="225"/>
      <c r="Q177" s="225"/>
      <c r="R177" s="225"/>
      <c r="S177" s="225"/>
      <c r="T177" s="225"/>
      <c r="U177" s="225"/>
      <c r="V177" s="225"/>
    </row>
    <row r="178" spans="1:22" s="173" customFormat="1" x14ac:dyDescent="0.25">
      <c r="A178" s="225"/>
      <c r="B178" s="226" t="s">
        <v>204</v>
      </c>
      <c r="C178" s="226"/>
      <c r="D178" s="226"/>
      <c r="E178" s="226" t="s">
        <v>205</v>
      </c>
      <c r="F178" s="225"/>
      <c r="G178" s="225"/>
      <c r="H178" s="225"/>
      <c r="I178" s="225"/>
      <c r="J178" s="225"/>
      <c r="K178" s="225"/>
      <c r="L178" s="225"/>
      <c r="M178" s="225"/>
      <c r="N178" s="225"/>
      <c r="O178" s="225"/>
      <c r="P178" s="225"/>
      <c r="Q178" s="225"/>
      <c r="R178" s="225"/>
      <c r="S178" s="225"/>
      <c r="T178" s="225"/>
      <c r="U178" s="225"/>
      <c r="V178" s="225"/>
    </row>
    <row r="179" spans="1:22" s="173" customFormat="1" x14ac:dyDescent="0.25">
      <c r="A179" s="225"/>
      <c r="B179" s="226" t="s">
        <v>206</v>
      </c>
      <c r="C179" s="226"/>
      <c r="D179" s="226"/>
      <c r="E179" s="226" t="s">
        <v>207</v>
      </c>
      <c r="F179" s="225"/>
      <c r="G179" s="225"/>
      <c r="H179" s="225"/>
      <c r="I179" s="225"/>
      <c r="J179" s="225"/>
      <c r="K179" s="225"/>
      <c r="L179" s="225"/>
      <c r="M179" s="225"/>
      <c r="N179" s="225"/>
      <c r="O179" s="225"/>
      <c r="P179" s="225"/>
      <c r="Q179" s="225"/>
      <c r="R179" s="225"/>
      <c r="S179" s="225"/>
      <c r="T179" s="225"/>
      <c r="U179" s="225"/>
      <c r="V179" s="225"/>
    </row>
    <row r="180" spans="1:22" s="173" customFormat="1" x14ac:dyDescent="0.25">
      <c r="A180" s="225"/>
      <c r="B180" s="226" t="s">
        <v>208</v>
      </c>
      <c r="C180" s="226"/>
      <c r="D180" s="226"/>
      <c r="E180" s="226" t="s">
        <v>209</v>
      </c>
      <c r="F180" s="225"/>
      <c r="G180" s="225"/>
      <c r="H180" s="225"/>
      <c r="I180" s="225"/>
      <c r="J180" s="225"/>
      <c r="K180" s="225"/>
      <c r="L180" s="225"/>
      <c r="M180" s="225"/>
      <c r="N180" s="225"/>
      <c r="O180" s="225"/>
      <c r="P180" s="225"/>
      <c r="Q180" s="225"/>
      <c r="R180" s="225"/>
      <c r="S180" s="225"/>
      <c r="T180" s="225"/>
      <c r="U180" s="225"/>
      <c r="V180" s="225"/>
    </row>
    <row r="181" spans="1:22" s="173" customFormat="1" x14ac:dyDescent="0.25">
      <c r="A181" s="225"/>
      <c r="B181" s="225"/>
      <c r="C181" s="225"/>
      <c r="D181" s="225"/>
      <c r="E181" s="225"/>
      <c r="F181" s="225"/>
      <c r="G181" s="225"/>
      <c r="H181" s="225"/>
      <c r="I181" s="225"/>
      <c r="J181" s="225"/>
      <c r="K181" s="225"/>
      <c r="L181" s="225"/>
      <c r="M181" s="225"/>
      <c r="N181" s="225"/>
      <c r="O181" s="225"/>
      <c r="P181" s="225"/>
      <c r="Q181" s="225"/>
      <c r="R181" s="225"/>
      <c r="S181" s="225"/>
      <c r="T181" s="225"/>
      <c r="U181" s="225"/>
      <c r="V181" s="225"/>
    </row>
    <row r="182" spans="1:22" s="173" customFormat="1" x14ac:dyDescent="0.25">
      <c r="A182" s="225"/>
      <c r="B182" s="225"/>
      <c r="C182" s="225"/>
      <c r="D182" s="225"/>
      <c r="E182" s="225"/>
      <c r="F182" s="225"/>
      <c r="G182" s="225"/>
      <c r="H182" s="225"/>
      <c r="I182" s="225"/>
      <c r="J182" s="225"/>
      <c r="K182" s="225"/>
      <c r="L182" s="225"/>
      <c r="M182" s="225"/>
      <c r="N182" s="225"/>
      <c r="O182" s="225"/>
      <c r="P182" s="225"/>
      <c r="Q182" s="225"/>
      <c r="R182" s="225"/>
      <c r="S182" s="225"/>
      <c r="T182" s="225"/>
      <c r="U182" s="225"/>
      <c r="V182" s="225"/>
    </row>
    <row r="183" spans="1:22" s="173" customFormat="1" x14ac:dyDescent="0.25">
      <c r="A183" s="225"/>
      <c r="B183" s="225"/>
      <c r="C183" s="225"/>
      <c r="D183" s="225"/>
      <c r="E183" s="225"/>
      <c r="F183" s="225"/>
      <c r="G183" s="225"/>
      <c r="H183" s="225"/>
      <c r="I183" s="225"/>
      <c r="J183" s="225"/>
      <c r="K183" s="225"/>
      <c r="L183" s="225"/>
      <c r="M183" s="225"/>
      <c r="N183" s="225"/>
      <c r="O183" s="225"/>
      <c r="P183" s="225"/>
      <c r="Q183" s="225"/>
      <c r="R183" s="225"/>
      <c r="S183" s="225"/>
      <c r="T183" s="225"/>
      <c r="U183" s="225"/>
      <c r="V183" s="225"/>
    </row>
    <row r="184" spans="1:22" s="173" customFormat="1" x14ac:dyDescent="0.25">
      <c r="A184" s="225"/>
      <c r="B184" s="225"/>
      <c r="C184" s="225"/>
      <c r="D184" s="225"/>
      <c r="E184" s="225"/>
      <c r="F184" s="225"/>
      <c r="G184" s="225"/>
      <c r="H184" s="225"/>
      <c r="I184" s="225"/>
      <c r="J184" s="225"/>
      <c r="K184" s="225"/>
      <c r="L184" s="225"/>
      <c r="M184" s="225"/>
      <c r="N184" s="225"/>
      <c r="O184" s="225"/>
      <c r="P184" s="225"/>
      <c r="Q184" s="225"/>
      <c r="R184" s="225"/>
      <c r="S184" s="225"/>
      <c r="T184" s="225"/>
      <c r="U184" s="225"/>
      <c r="V184" s="225"/>
    </row>
    <row r="185" spans="1:22" s="173" customFormat="1" x14ac:dyDescent="0.25">
      <c r="A185" s="225"/>
      <c r="B185" s="225"/>
      <c r="C185" s="225"/>
      <c r="D185" s="225"/>
      <c r="E185" s="225"/>
      <c r="F185" s="225"/>
      <c r="G185" s="225"/>
      <c r="H185" s="225"/>
      <c r="I185" s="225"/>
      <c r="J185" s="225"/>
      <c r="K185" s="225"/>
      <c r="L185" s="225"/>
      <c r="M185" s="225"/>
      <c r="N185" s="225"/>
      <c r="O185" s="225"/>
      <c r="P185" s="225"/>
      <c r="Q185" s="225"/>
      <c r="R185" s="225"/>
      <c r="S185" s="225"/>
      <c r="T185" s="225"/>
      <c r="U185" s="225"/>
      <c r="V185" s="225"/>
    </row>
    <row r="186" spans="1:22" s="173" customFormat="1" x14ac:dyDescent="0.25">
      <c r="A186" s="225"/>
      <c r="B186" s="225"/>
      <c r="C186" s="225"/>
      <c r="D186" s="225"/>
      <c r="E186" s="225"/>
      <c r="F186" s="225"/>
      <c r="G186" s="225"/>
      <c r="H186" s="225"/>
      <c r="I186" s="225"/>
      <c r="J186" s="225"/>
      <c r="K186" s="225"/>
      <c r="L186" s="225"/>
      <c r="M186" s="225"/>
      <c r="N186" s="225"/>
      <c r="O186" s="225"/>
      <c r="P186" s="225"/>
      <c r="Q186" s="225"/>
      <c r="R186" s="225"/>
      <c r="S186" s="225"/>
      <c r="T186" s="225"/>
      <c r="U186" s="225"/>
      <c r="V186" s="225"/>
    </row>
    <row r="187" spans="1:22" s="173" customFormat="1" x14ac:dyDescent="0.25">
      <c r="A187" s="225"/>
      <c r="B187" s="225"/>
      <c r="C187" s="225"/>
      <c r="D187" s="225"/>
      <c r="E187" s="225"/>
      <c r="F187" s="225"/>
      <c r="G187" s="225"/>
      <c r="H187" s="225"/>
      <c r="I187" s="225"/>
      <c r="J187" s="225"/>
      <c r="K187" s="225"/>
      <c r="L187" s="225"/>
      <c r="M187" s="225"/>
      <c r="N187" s="225"/>
      <c r="O187" s="225"/>
      <c r="P187" s="225"/>
      <c r="Q187" s="225"/>
      <c r="R187" s="225"/>
      <c r="S187" s="225"/>
      <c r="T187" s="225"/>
      <c r="U187" s="225"/>
      <c r="V187" s="225"/>
    </row>
    <row r="188" spans="1:22" s="173" customFormat="1" x14ac:dyDescent="0.25">
      <c r="A188" s="225"/>
      <c r="B188" s="225"/>
      <c r="C188" s="225"/>
      <c r="D188" s="225"/>
      <c r="E188" s="225"/>
      <c r="F188" s="225"/>
      <c r="G188" s="225"/>
      <c r="H188" s="225"/>
      <c r="I188" s="225"/>
      <c r="J188" s="225"/>
      <c r="K188" s="225"/>
      <c r="L188" s="225"/>
      <c r="M188" s="225"/>
      <c r="N188" s="225"/>
      <c r="O188" s="225"/>
      <c r="P188" s="225"/>
      <c r="Q188" s="225"/>
      <c r="R188" s="225"/>
      <c r="S188" s="225"/>
      <c r="T188" s="225"/>
      <c r="U188" s="225"/>
      <c r="V188" s="225"/>
    </row>
    <row r="189" spans="1:22" s="173" customFormat="1" x14ac:dyDescent="0.25">
      <c r="A189" s="225"/>
      <c r="B189" s="225"/>
      <c r="C189" s="225"/>
      <c r="D189" s="225"/>
      <c r="E189" s="225"/>
      <c r="F189" s="225"/>
      <c r="G189" s="225"/>
      <c r="H189" s="225"/>
      <c r="I189" s="225"/>
      <c r="J189" s="225"/>
      <c r="K189" s="225"/>
      <c r="L189" s="225"/>
      <c r="M189" s="225"/>
      <c r="N189" s="225"/>
      <c r="O189" s="225"/>
      <c r="P189" s="225"/>
      <c r="Q189" s="225"/>
      <c r="R189" s="225"/>
      <c r="S189" s="225"/>
      <c r="T189" s="225"/>
      <c r="U189" s="225"/>
      <c r="V189" s="225"/>
    </row>
    <row r="190" spans="1:22" s="173" customFormat="1" x14ac:dyDescent="0.25">
      <c r="A190" s="225"/>
      <c r="B190" s="225"/>
      <c r="C190" s="225"/>
      <c r="D190" s="225"/>
      <c r="E190" s="225"/>
      <c r="F190" s="225"/>
      <c r="G190" s="225"/>
      <c r="H190" s="225"/>
      <c r="I190" s="225"/>
      <c r="J190" s="225"/>
      <c r="K190" s="225"/>
      <c r="L190" s="225"/>
      <c r="M190" s="225"/>
      <c r="N190" s="225"/>
      <c r="O190" s="225"/>
      <c r="P190" s="225"/>
      <c r="Q190" s="225"/>
      <c r="R190" s="225"/>
      <c r="S190" s="225"/>
      <c r="T190" s="225"/>
      <c r="U190" s="225"/>
      <c r="V190" s="225"/>
    </row>
    <row r="191" spans="1:22" s="173" customFormat="1" x14ac:dyDescent="0.25">
      <c r="A191" s="225"/>
      <c r="B191" s="225"/>
      <c r="C191" s="225"/>
      <c r="D191" s="225"/>
      <c r="E191" s="225"/>
      <c r="F191" s="225"/>
      <c r="G191" s="225"/>
      <c r="H191" s="225"/>
      <c r="I191" s="225"/>
      <c r="J191" s="225"/>
      <c r="K191" s="225"/>
      <c r="L191" s="225"/>
      <c r="M191" s="225"/>
      <c r="N191" s="225"/>
      <c r="O191" s="225"/>
      <c r="P191" s="225"/>
      <c r="Q191" s="225"/>
      <c r="R191" s="225"/>
      <c r="S191" s="225"/>
      <c r="T191" s="225"/>
      <c r="U191" s="225"/>
      <c r="V191" s="225"/>
    </row>
  </sheetData>
  <mergeCells count="49">
    <mergeCell ref="D33:N33"/>
    <mergeCell ref="C23:E23"/>
    <mergeCell ref="D25:N25"/>
    <mergeCell ref="C27:E27"/>
    <mergeCell ref="D29:N29"/>
    <mergeCell ref="C31:E31"/>
    <mergeCell ref="D59:N59"/>
    <mergeCell ref="C35:E35"/>
    <mergeCell ref="D37:N37"/>
    <mergeCell ref="C39:E39"/>
    <mergeCell ref="D41:N41"/>
    <mergeCell ref="C43:E43"/>
    <mergeCell ref="D45:N45"/>
    <mergeCell ref="C47:E47"/>
    <mergeCell ref="D49:N49"/>
    <mergeCell ref="C51:E51"/>
    <mergeCell ref="D53:N53"/>
    <mergeCell ref="D57:N57"/>
    <mergeCell ref="F125:N125"/>
    <mergeCell ref="D84:N84"/>
    <mergeCell ref="D96:N96"/>
    <mergeCell ref="D111:N111"/>
    <mergeCell ref="D112:N112"/>
    <mergeCell ref="E113:N113"/>
    <mergeCell ref="E115:N115"/>
    <mergeCell ref="E117:N117"/>
    <mergeCell ref="E119:N119"/>
    <mergeCell ref="E121:N121"/>
    <mergeCell ref="E123:N123"/>
    <mergeCell ref="F137:N137"/>
    <mergeCell ref="F126:N126"/>
    <mergeCell ref="F127:N127"/>
    <mergeCell ref="F128:N128"/>
    <mergeCell ref="F129:N129"/>
    <mergeCell ref="F130:N130"/>
    <mergeCell ref="F131:N131"/>
    <mergeCell ref="F132:N132"/>
    <mergeCell ref="F133:N133"/>
    <mergeCell ref="F134:N134"/>
    <mergeCell ref="F135:N135"/>
    <mergeCell ref="F136:N136"/>
    <mergeCell ref="C152:N152"/>
    <mergeCell ref="C156:N156"/>
    <mergeCell ref="F138:N138"/>
    <mergeCell ref="E140:N140"/>
    <mergeCell ref="E142:N142"/>
    <mergeCell ref="E144:N144"/>
    <mergeCell ref="E146:N146"/>
    <mergeCell ref="E148:N148"/>
  </mergeCells>
  <dataValidations count="39">
    <dataValidation allowBlank="1" showInputMessage="1" showErrorMessage="1" prompt="For each &quot;Unoccupied Peak Weeks&quot; cell, specify the number of weeks the facility is closed during the months of June, July, and August for the given custom schedule." sqref="F109"/>
    <dataValidation allowBlank="1" showInputMessage="1" showErrorMessage="1" prompt="For each &quot;Holidays Observed Annually&quot; cell, specify the number of days the facility shuts down completely for the given schedule." sqref="F107"/>
    <dataValidation allowBlank="1" showInputMessage="1" showErrorMessage="1" prompt="Cell AF25, &quot;General Coincidence Factor&quot;, displays the TRM-deemed coincidence factor associated with general service bulbs for the building type selected." sqref="F106"/>
    <dataValidation allowBlank="1" showInputMessage="1" showErrorMessage="1" prompt="Cell AF24, &quot;General Hours of Use&quot;, displays the TRM-deemed hours of use associated with general service bulbs for the building type selected." sqref="F105"/>
    <dataValidation allowBlank="1" showInputMessage="1" showErrorMessage="1" prompt="Cell AE25, &quot;Screw-In CF&quot;, displays the TRM-deemed coincidence factor associated with screw-in bulbs for the building type selected." sqref="F104"/>
    <dataValidation allowBlank="1" showInputMessage="1" showErrorMessage="1" prompt="Cell AE24, &quot;Screw-In Hours of Use&quot;, displays the TRM-deemed hours of use associated with screw-in bulbs for the building type selected." sqref="F103"/>
    <dataValidation allowBlank="1" showInputMessage="1" showErrorMessage="1" prompt="Each &quot;Coincidence Factor&quot; cell calculates the percentage of the designated peak hours that the lights will be operational according to the custom schedule input in the cells above. Intermediate calculations for this cell can be found starting in row 57." sqref="F102"/>
    <dataValidation allowBlank="1" showInputMessage="1" showErrorMessage="1" prompt="Each &quot;Hours of Use&quot; cell calculates the annual hours of use associated with the custom schedule input in the cells above." sqref="F101"/>
    <dataValidation allowBlank="1" showInputMessage="1" showErrorMessage="1" prompt="Each row in the &quot;Off&quot; column represents the time at which the lights are turned off for the specified scheduled during the specified day of the week. The time should be entered in 24-hr. format." sqref="F100"/>
    <dataValidation allowBlank="1" showInputMessage="1" showErrorMessage="1" prompt="Each row in the &quot;On&quot; column represents the time at which the lights are turned on for the specified scheduled during the specified day of the week. The time should be entered in 24-hr. format." sqref="F99"/>
    <dataValidation allowBlank="1" showInputMessage="1" showErrorMessage="1" prompt="For cells R15 through AD15, &quot;Schedule Designation&quot;, specify a name for the custom schedule being designated in the cells below." sqref="F98"/>
    <dataValidation allowBlank="1" showInputMessage="1" showErrorMessage="1" prompt="For cell D18, &quot;Utility&quot;, specify the electric distribution company who services the facility." sqref="F67"/>
    <dataValidation allowBlank="1" showInputMessage="1" showErrorMessage="1" prompt="Cell O37, &quot;Allowable Watts&quot;, displays the ASHRAE allowable total wattage for the facility based on the space details provided." sqref="F94"/>
    <dataValidation allowBlank="1" showInputMessage="1" showErrorMessage="1" prompt="Cells Q41 through Q60, &quot;Units&quot;, display the ASHRAE designated units for calculating wattage allowance for the space type selected." sqref="F92"/>
    <dataValidation allowBlank="1" showInputMessage="1" showErrorMessage="1" prompt="For cells O41 through O60, &quot;Qty. of Units&quot;, specify the number of units (defined in column Q) included in the designated space type." sqref="F91"/>
    <dataValidation allowBlank="1" showInputMessage="1" showErrorMessage="1" prompt="For cells N41 through N60, &quot;Cooling Type&quot;, select the option from the drop-down menu that best describes the cooling type of the designated space type." sqref="F90"/>
    <dataValidation allowBlank="1" showInputMessage="1" showErrorMessage="1" prompt="For cells J41 through J60, &quot;Schedule&quot;, which schedule will be used to evaluate this space type. The user can either select to use TRM-deemed values, or a custom schedule as created in the table below." sqref="F89"/>
    <dataValidation allowBlank="1" showInputMessage="1" showErrorMessage="1" prompt="For cells D41 through D60, &quot;Space Type&quot;, select the option from the drop-down menu that best describes the usage of the designated space type." sqref="F88"/>
    <dataValidation allowBlank="1" showInputMessage="1" showErrorMessage="1" prompt="Cell D37, &quot;Calculation Method&quot;, is only applicable in the event that the application is for a New Construction project. In this case, specify whether the project should be evaluated using the &quot;Space-by-Space Method&quot; or the &quot;Building Area Method&quot;." sqref="F86"/>
    <dataValidation allowBlank="1" showInputMessage="1" showErrorMessage="1" prompt="For cell I26, &quot;HOU/CF Source&quot;, specify whether this project will be evaluated using TRM-deemed hours of use and coincidence factors, or if custom operating schedules will be designated." sqref="I68"/>
    <dataValidation allowBlank="1" showInputMessage="1" showErrorMessage="1" prompt="For cell I26, &quot;HOU/CF Source&quot;, specify whether this project will be evaluated using TRM-specified hours of use and coincidence factors, or if custom operating schedules will be designated." sqref="F77:F81"/>
    <dataValidation allowBlank="1" showInputMessage="1" showErrorMessage="1" prompt="For cell D26, &quot;Installation Date&quot;, specify the completion (or expected completion) date of the project." sqref="F76 I67"/>
    <dataValidation allowBlank="1" showInputMessage="1" showErrorMessage="1" prompt="For cell I25, &quot;Heating Fuel Type&quot;, specify whether the facility is serviced by gas or electric heat." sqref="F75 I66"/>
    <dataValidation allowBlank="1" showInputMessage="1" showErrorMessage="1" prompt="For cell D25, &quot;Facility Size&quot;, specify the total square footage of the facility at which the project occurs. This field is optional for retrofit applications." sqref="F74 I65"/>
    <dataValidation allowBlank="1" showInputMessage="1" showErrorMessage="1" prompt="For cell D24, &quot;Construction Type&quot;, specify whether this project is for a lighting retrofit project or for new construction." sqref="F73 I64"/>
    <dataValidation allowBlank="1" showInputMessage="1" showErrorMessage="1" prompt="For cell D23, &quot;ASHRAE Facility Type&quot;, select the option from the drop-down menu that best describes the usage of the facility." sqref="F72 I63"/>
    <dataValidation allowBlank="1" showInputMessage="1" showErrorMessage="1" prompt="For cell D21, &quot;Email&quot;, designate the email address where the designated contact can be reached." sqref="F71 I62"/>
    <dataValidation allowBlank="1" showInputMessage="1" showErrorMessage="1" prompt="For cell D20, &quot;Phone&quot;, designate the phone number where the designated contact can be reached." sqref="F70 I61"/>
    <dataValidation allowBlank="1" showInputMessage="1" showErrorMessage="1" prompt="For cell D19, &quot;Contact Name and Title&quot;, designate the person who should be contacted in the event that there are any questions regarding this application." sqref="F69"/>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8"/>
    <dataValidation allowBlank="1" showInputMessage="1" showErrorMessage="1" prompt="For cell J17, &quot;Zip&quot;, specify the zip code in which the facility is located." sqref="F66"/>
    <dataValidation allowBlank="1" showInputMessage="1" showErrorMessage="1" prompt="For cell H17, &quot;State&quot;, specify the state in which the facility is located." sqref="F65"/>
    <dataValidation allowBlank="1" showInputMessage="1" showErrorMessage="1" prompt="For cell D17, &quot;City&quot;, specify the city in which the facility is located." sqref="F64"/>
    <dataValidation allowBlank="1" showInputMessage="1" showErrorMessage="1" prompt="For cell D16, &quot;Address&quot;, specify the address at which the project takes place." sqref="F63"/>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2"/>
    <dataValidation allowBlank="1" showInputMessage="1" showErrorMessage="1" prompt="For cell D13, &quot;Applicant Name&quot;, specify the name of the applicant as corroborated by the submitted W9." sqref="F61"/>
    <dataValidation allowBlank="1" showInputMessage="1" showErrorMessage="1" prompt="For cells C41 through C60, &quot;Space Designation&quot;, provide a name for  the space described in the details of subsequent columns." sqref="F87"/>
    <dataValidation allowBlank="1" showInputMessage="1" showErrorMessage="1" prompt="For each &quot;Yearly Operating Weeks&quot; cell, specify the number of weeks the facility operates at the given custom schedule." sqref="F108"/>
    <dataValidation allowBlank="1" showInputMessage="1" showErrorMessage="1" prompt="Cells T41 through T60, &quot;Wattage Allowance per Unit&quot;, display the ASHRAE designated allowable wattage per the unit described in column Q for calculating wattage allowance for the space type selected." sqref="F93"/>
  </dataValidations>
  <hyperlinks>
    <hyperlink ref="D7" location="Sheet1!B14" display="Purpose"/>
    <hyperlink ref="D8" location="Sheet1!B20" display="Organization"/>
    <hyperlink ref="D9" location="Manual!A56" display="User Guide"/>
    <hyperlink ref="D10" location="Manual!A150" display="Notes"/>
    <hyperlink ref="D11" location="Manual!A154" display="Disclaimer"/>
    <hyperlink ref="C23" location="Manual!A1" display="(1) Manual"/>
    <hyperlink ref="C27" location="Changelog!A1" display="(2) Changelog"/>
    <hyperlink ref="C35" location="'General Information'!A1" display="(4) General Information"/>
    <hyperlink ref="C39" location="'Lighting Inventory'!A1" display="(5) Lighting Inventory"/>
    <hyperlink ref="C43" location="'Fixture Identities'!A1" display="(6) Fixture Identities"/>
    <hyperlink ref="C47" location="Summary!A1" display="(7) Summary"/>
    <hyperlink ref="C51" location="Lookups!A1" display="(8) Lookups"/>
    <hyperlink ref="C31" location="Glossary!A1" display="(3)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showGridLines="0" zoomScale="90" zoomScaleNormal="90" workbookViewId="0">
      <pane ySplit="3" topLeftCell="A49" activePane="bottomLeft" state="frozen"/>
      <selection activeCell="D37" sqref="D37:N37"/>
      <selection pane="bottomLeft" activeCell="B64" sqref="B64"/>
    </sheetView>
  </sheetViews>
  <sheetFormatPr defaultRowHeight="15.75" x14ac:dyDescent="0.25"/>
  <cols>
    <col min="1" max="1" width="3.7109375" style="204" customWidth="1"/>
    <col min="2" max="2" width="4.7109375" style="204" customWidth="1"/>
    <col min="3" max="3" width="3.7109375" style="204" customWidth="1"/>
    <col min="4" max="14" width="10.7109375" style="204" customWidth="1"/>
    <col min="15" max="22" width="9.140625" style="204"/>
    <col min="23" max="16384" width="9.140625" style="168"/>
  </cols>
  <sheetData>
    <row r="1" spans="1:22" ht="15" customHeight="1" x14ac:dyDescent="0.25"/>
    <row r="2" spans="1:22" s="27" customFormat="1" ht="22.5" x14ac:dyDescent="0.25">
      <c r="A2" s="2"/>
      <c r="B2" s="3" t="s">
        <v>0</v>
      </c>
      <c r="C2" s="4"/>
      <c r="D2" s="4"/>
      <c r="E2" s="4"/>
      <c r="F2" s="4"/>
      <c r="G2" s="4"/>
      <c r="H2" s="4"/>
      <c r="I2" s="4"/>
      <c r="J2" s="4"/>
      <c r="K2" s="4"/>
      <c r="L2" s="4"/>
      <c r="M2" s="4"/>
      <c r="N2" s="4"/>
      <c r="O2" s="4"/>
      <c r="P2" s="4"/>
      <c r="Q2" s="4"/>
      <c r="R2" s="4"/>
      <c r="S2" s="4"/>
      <c r="T2" s="4"/>
      <c r="U2" s="4"/>
      <c r="V2" s="4"/>
    </row>
    <row r="3" spans="1:22" s="83" customFormat="1" ht="17.25" x14ac:dyDescent="0.25">
      <c r="A3" s="5"/>
      <c r="B3" s="7" t="s">
        <v>210</v>
      </c>
      <c r="C3" s="6"/>
      <c r="D3" s="6"/>
      <c r="E3" s="6"/>
      <c r="F3" s="6"/>
      <c r="G3" s="6"/>
      <c r="H3" s="6"/>
      <c r="I3" s="6"/>
      <c r="J3" s="6"/>
      <c r="K3" s="6"/>
      <c r="L3" s="6"/>
      <c r="M3" s="6"/>
      <c r="N3" s="6"/>
      <c r="O3" s="6"/>
      <c r="P3" s="6"/>
      <c r="Q3" s="6"/>
      <c r="R3" s="6"/>
      <c r="S3" s="6"/>
      <c r="T3" s="6"/>
      <c r="U3" s="6"/>
      <c r="V3" s="6"/>
    </row>
    <row r="4" spans="1:22" ht="9.75" customHeight="1" x14ac:dyDescent="0.25">
      <c r="A4" s="233"/>
      <c r="B4" s="233"/>
      <c r="C4" s="233"/>
      <c r="D4" s="233"/>
      <c r="E4" s="233"/>
      <c r="F4" s="233"/>
      <c r="G4" s="233"/>
      <c r="H4" s="233"/>
      <c r="I4" s="233"/>
      <c r="J4" s="233"/>
      <c r="K4" s="233"/>
      <c r="L4" s="233"/>
      <c r="M4" s="233"/>
      <c r="N4" s="233"/>
      <c r="O4" s="233"/>
      <c r="P4" s="233"/>
      <c r="Q4" s="233"/>
      <c r="R4" s="233"/>
      <c r="S4" s="233"/>
      <c r="T4" s="233"/>
      <c r="U4" s="233"/>
      <c r="V4" s="233"/>
    </row>
    <row r="5" spans="1:22" x14ac:dyDescent="0.25">
      <c r="A5" s="233"/>
      <c r="B5" s="234" t="s">
        <v>211</v>
      </c>
      <c r="C5" s="233"/>
      <c r="D5" s="233"/>
      <c r="E5" s="233"/>
      <c r="F5" s="233"/>
      <c r="G5" s="233"/>
      <c r="H5" s="233"/>
      <c r="I5" s="233"/>
      <c r="J5" s="233"/>
      <c r="K5" s="233"/>
      <c r="L5" s="233"/>
      <c r="M5" s="233"/>
      <c r="N5" s="233"/>
      <c r="O5" s="233"/>
      <c r="P5" s="233"/>
      <c r="Q5" s="233"/>
      <c r="R5" s="233"/>
      <c r="S5" s="233"/>
      <c r="T5" s="233"/>
      <c r="U5" s="233"/>
      <c r="V5" s="233"/>
    </row>
    <row r="6" spans="1:22" x14ac:dyDescent="0.25">
      <c r="B6" s="235" t="s">
        <v>212</v>
      </c>
      <c r="C6" s="236" t="s">
        <v>213</v>
      </c>
    </row>
    <row r="8" spans="1:22" x14ac:dyDescent="0.25">
      <c r="B8" s="234" t="s">
        <v>214</v>
      </c>
    </row>
    <row r="9" spans="1:22" x14ac:dyDescent="0.25">
      <c r="B9" s="235" t="s">
        <v>212</v>
      </c>
      <c r="C9" s="204" t="s">
        <v>215</v>
      </c>
    </row>
    <row r="10" spans="1:22" x14ac:dyDescent="0.25">
      <c r="B10" s="235" t="s">
        <v>216</v>
      </c>
      <c r="C10" s="204" t="s">
        <v>217</v>
      </c>
    </row>
    <row r="11" spans="1:22" x14ac:dyDescent="0.25">
      <c r="B11" s="235" t="s">
        <v>218</v>
      </c>
      <c r="C11" s="204" t="s">
        <v>219</v>
      </c>
    </row>
    <row r="12" spans="1:22" x14ac:dyDescent="0.25">
      <c r="B12" s="235" t="s">
        <v>220</v>
      </c>
      <c r="C12" s="204" t="s">
        <v>221</v>
      </c>
    </row>
    <row r="13" spans="1:22" x14ac:dyDescent="0.25">
      <c r="B13" s="235" t="s">
        <v>222</v>
      </c>
      <c r="C13" s="204" t="s">
        <v>223</v>
      </c>
    </row>
    <row r="14" spans="1:22" x14ac:dyDescent="0.25">
      <c r="B14" s="235" t="s">
        <v>224</v>
      </c>
      <c r="C14" s="204" t="s">
        <v>225</v>
      </c>
    </row>
    <row r="15" spans="1:22" x14ac:dyDescent="0.25">
      <c r="B15" s="235" t="s">
        <v>226</v>
      </c>
      <c r="C15" s="204" t="s">
        <v>227</v>
      </c>
    </row>
    <row r="16" spans="1:22" x14ac:dyDescent="0.25">
      <c r="B16" s="235" t="s">
        <v>228</v>
      </c>
      <c r="C16" s="204" t="s">
        <v>229</v>
      </c>
    </row>
    <row r="18" spans="2:3" x14ac:dyDescent="0.25">
      <c r="B18" s="234" t="s">
        <v>230</v>
      </c>
    </row>
    <row r="19" spans="2:3" x14ac:dyDescent="0.25">
      <c r="B19" s="235" t="s">
        <v>212</v>
      </c>
      <c r="C19" s="204" t="s">
        <v>231</v>
      </c>
    </row>
    <row r="20" spans="2:3" x14ac:dyDescent="0.25">
      <c r="B20" s="235" t="s">
        <v>216</v>
      </c>
      <c r="C20" s="204" t="s">
        <v>232</v>
      </c>
    </row>
    <row r="21" spans="2:3" x14ac:dyDescent="0.25">
      <c r="B21" s="235" t="s">
        <v>218</v>
      </c>
      <c r="C21" s="204" t="s">
        <v>233</v>
      </c>
    </row>
    <row r="22" spans="2:3" x14ac:dyDescent="0.25">
      <c r="B22" s="235" t="s">
        <v>220</v>
      </c>
      <c r="C22" s="204" t="s">
        <v>234</v>
      </c>
    </row>
    <row r="23" spans="2:3" x14ac:dyDescent="0.25">
      <c r="B23" s="235" t="s">
        <v>222</v>
      </c>
      <c r="C23" s="204" t="s">
        <v>235</v>
      </c>
    </row>
    <row r="25" spans="2:3" x14ac:dyDescent="0.25">
      <c r="B25" s="234" t="s">
        <v>236</v>
      </c>
    </row>
    <row r="26" spans="2:3" x14ac:dyDescent="0.25">
      <c r="B26" s="235" t="s">
        <v>212</v>
      </c>
      <c r="C26" s="204" t="s">
        <v>237</v>
      </c>
    </row>
    <row r="27" spans="2:3" x14ac:dyDescent="0.25">
      <c r="B27" s="235" t="s">
        <v>216</v>
      </c>
      <c r="C27" s="204" t="s">
        <v>238</v>
      </c>
    </row>
    <row r="28" spans="2:3" x14ac:dyDescent="0.25">
      <c r="B28" s="235" t="s">
        <v>218</v>
      </c>
      <c r="C28" s="204" t="s">
        <v>239</v>
      </c>
    </row>
    <row r="29" spans="2:3" x14ac:dyDescent="0.25">
      <c r="B29" s="235"/>
    </row>
    <row r="30" spans="2:3" x14ac:dyDescent="0.25">
      <c r="B30" s="234" t="s">
        <v>240</v>
      </c>
    </row>
    <row r="31" spans="2:3" x14ac:dyDescent="0.25">
      <c r="B31" s="235" t="s">
        <v>212</v>
      </c>
      <c r="C31" s="204" t="s">
        <v>241</v>
      </c>
    </row>
    <row r="32" spans="2:3" x14ac:dyDescent="0.25">
      <c r="B32" s="235" t="s">
        <v>216</v>
      </c>
      <c r="C32" s="204" t="s">
        <v>242</v>
      </c>
    </row>
    <row r="33" spans="2:3" x14ac:dyDescent="0.25">
      <c r="B33" s="235" t="s">
        <v>218</v>
      </c>
      <c r="C33" s="204" t="s">
        <v>243</v>
      </c>
    </row>
    <row r="34" spans="2:3" x14ac:dyDescent="0.25">
      <c r="B34" s="235" t="s">
        <v>220</v>
      </c>
      <c r="C34" s="204" t="s">
        <v>244</v>
      </c>
    </row>
    <row r="36" spans="2:3" x14ac:dyDescent="0.25">
      <c r="B36" s="234" t="s">
        <v>245</v>
      </c>
    </row>
    <row r="37" spans="2:3" x14ac:dyDescent="0.25">
      <c r="B37" s="235" t="s">
        <v>212</v>
      </c>
      <c r="C37" s="204" t="s">
        <v>246</v>
      </c>
    </row>
    <row r="38" spans="2:3" x14ac:dyDescent="0.25">
      <c r="B38" s="235" t="s">
        <v>216</v>
      </c>
      <c r="C38" s="204" t="s">
        <v>247</v>
      </c>
    </row>
    <row r="39" spans="2:3" x14ac:dyDescent="0.25">
      <c r="B39" s="235" t="s">
        <v>218</v>
      </c>
      <c r="C39" s="204" t="s">
        <v>248</v>
      </c>
    </row>
    <row r="40" spans="2:3" x14ac:dyDescent="0.25">
      <c r="B40" s="235" t="s">
        <v>220</v>
      </c>
      <c r="C40" s="204" t="s">
        <v>249</v>
      </c>
    </row>
    <row r="42" spans="2:3" x14ac:dyDescent="0.25">
      <c r="B42" s="234" t="s">
        <v>250</v>
      </c>
    </row>
    <row r="43" spans="2:3" x14ac:dyDescent="0.25">
      <c r="B43" s="235" t="s">
        <v>212</v>
      </c>
      <c r="C43" s="204" t="s">
        <v>251</v>
      </c>
    </row>
    <row r="44" spans="2:3" x14ac:dyDescent="0.25">
      <c r="B44" s="237"/>
    </row>
    <row r="45" spans="2:3" x14ac:dyDescent="0.25">
      <c r="B45" s="234" t="s">
        <v>252</v>
      </c>
    </row>
    <row r="46" spans="2:3" x14ac:dyDescent="0.25">
      <c r="B46" s="238" t="s">
        <v>212</v>
      </c>
      <c r="C46" s="204" t="s">
        <v>253</v>
      </c>
    </row>
    <row r="47" spans="2:3" x14ac:dyDescent="0.25">
      <c r="B47" s="238"/>
      <c r="C47" s="204" t="s">
        <v>254</v>
      </c>
    </row>
    <row r="48" spans="2:3" x14ac:dyDescent="0.25">
      <c r="B48" s="238" t="s">
        <v>216</v>
      </c>
      <c r="C48" s="204" t="s">
        <v>255</v>
      </c>
    </row>
    <row r="49" spans="2:3" x14ac:dyDescent="0.25">
      <c r="B49" s="238" t="s">
        <v>218</v>
      </c>
      <c r="C49" s="204" t="s">
        <v>256</v>
      </c>
    </row>
    <row r="51" spans="2:3" x14ac:dyDescent="0.25">
      <c r="B51" s="234" t="s">
        <v>257</v>
      </c>
    </row>
    <row r="52" spans="2:3" x14ac:dyDescent="0.25">
      <c r="B52" s="238" t="s">
        <v>212</v>
      </c>
      <c r="C52" s="204" t="s">
        <v>258</v>
      </c>
    </row>
    <row r="53" spans="2:3" x14ac:dyDescent="0.25">
      <c r="B53" s="238" t="s">
        <v>216</v>
      </c>
      <c r="C53" s="204" t="s">
        <v>259</v>
      </c>
    </row>
    <row r="54" spans="2:3" x14ac:dyDescent="0.25">
      <c r="B54" s="238" t="s">
        <v>218</v>
      </c>
      <c r="C54" s="204" t="s">
        <v>260</v>
      </c>
    </row>
    <row r="55" spans="2:3" x14ac:dyDescent="0.25">
      <c r="B55" s="238" t="s">
        <v>220</v>
      </c>
      <c r="C55" s="204" t="s">
        <v>261</v>
      </c>
    </row>
    <row r="56" spans="2:3" x14ac:dyDescent="0.25">
      <c r="B56" s="238" t="s">
        <v>222</v>
      </c>
      <c r="C56" s="204" t="s">
        <v>262</v>
      </c>
    </row>
    <row r="57" spans="2:3" x14ac:dyDescent="0.25">
      <c r="B57" s="237"/>
      <c r="C57" s="204" t="s">
        <v>263</v>
      </c>
    </row>
    <row r="58" spans="2:3" x14ac:dyDescent="0.25">
      <c r="B58" s="234" t="s">
        <v>264</v>
      </c>
    </row>
    <row r="59" spans="2:3" x14ac:dyDescent="0.25">
      <c r="B59" s="238" t="s">
        <v>212</v>
      </c>
      <c r="C59" s="204" t="s">
        <v>265</v>
      </c>
    </row>
    <row r="60" spans="2:3" x14ac:dyDescent="0.25">
      <c r="B60" s="238" t="s">
        <v>216</v>
      </c>
      <c r="C60" s="204" t="s">
        <v>266</v>
      </c>
    </row>
    <row r="61" spans="2:3" x14ac:dyDescent="0.25">
      <c r="B61" s="235" t="s">
        <v>218</v>
      </c>
      <c r="C61" s="204" t="s">
        <v>267</v>
      </c>
    </row>
    <row r="62" spans="2:3" x14ac:dyDescent="0.25">
      <c r="B62" s="235" t="s">
        <v>220</v>
      </c>
      <c r="C62" s="204" t="s">
        <v>268</v>
      </c>
    </row>
    <row r="64" spans="2:3" x14ac:dyDescent="0.25">
      <c r="B64" s="267" t="s">
        <v>2948</v>
      </c>
    </row>
    <row r="65" spans="2:3" x14ac:dyDescent="0.25">
      <c r="B65" s="238" t="s">
        <v>212</v>
      </c>
      <c r="C65" s="204" t="s">
        <v>269</v>
      </c>
    </row>
    <row r="66" spans="2:3" x14ac:dyDescent="0.25">
      <c r="B66" s="238" t="s">
        <v>216</v>
      </c>
      <c r="C66" s="204" t="s">
        <v>270</v>
      </c>
    </row>
    <row r="67" spans="2:3" x14ac:dyDescent="0.25">
      <c r="B67" s="238" t="s">
        <v>218</v>
      </c>
      <c r="C67" s="204" t="s">
        <v>271</v>
      </c>
    </row>
    <row r="68" spans="2:3" x14ac:dyDescent="0.25">
      <c r="B68" s="238" t="s">
        <v>220</v>
      </c>
      <c r="C68" s="204" t="s">
        <v>272</v>
      </c>
    </row>
    <row r="69" spans="2:3" x14ac:dyDescent="0.25">
      <c r="B69" s="238" t="s">
        <v>222</v>
      </c>
      <c r="C69" s="204" t="s">
        <v>273</v>
      </c>
    </row>
    <row r="70" spans="2:3" x14ac:dyDescent="0.25">
      <c r="B70" s="238" t="s">
        <v>224</v>
      </c>
      <c r="C70" s="204" t="s">
        <v>274</v>
      </c>
    </row>
    <row r="71" spans="2:3" x14ac:dyDescent="0.25">
      <c r="B71" s="238" t="s">
        <v>226</v>
      </c>
      <c r="C71" s="204" t="s">
        <v>275</v>
      </c>
    </row>
    <row r="72" spans="2:3" x14ac:dyDescent="0.25">
      <c r="B72" s="238" t="s">
        <v>228</v>
      </c>
      <c r="C72" s="204" t="s">
        <v>2949</v>
      </c>
    </row>
    <row r="73" spans="2:3" x14ac:dyDescent="0.25">
      <c r="B73" s="235" t="s">
        <v>276</v>
      </c>
      <c r="C73" s="204" t="s">
        <v>277</v>
      </c>
    </row>
    <row r="74" spans="2:3" x14ac:dyDescent="0.25">
      <c r="B74" s="239" t="s">
        <v>278</v>
      </c>
      <c r="C74" s="204" t="s">
        <v>261</v>
      </c>
    </row>
  </sheetData>
  <sheetProtection password="C2D4" sheet="1" objects="1" scenarios="1"/>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showGridLines="0" zoomScale="90" zoomScaleNormal="90" workbookViewId="0">
      <pane ySplit="14" topLeftCell="A88" activePane="bottomLeft" state="frozen"/>
      <selection activeCell="D37" sqref="D37:N37"/>
      <selection pane="bottomLeft" activeCell="D96" sqref="D96"/>
    </sheetView>
  </sheetViews>
  <sheetFormatPr defaultRowHeight="15.75" x14ac:dyDescent="0.25"/>
  <cols>
    <col min="1" max="1" width="3.7109375" style="240" customWidth="1"/>
    <col min="2" max="2" width="2.7109375" style="240" customWidth="1"/>
    <col min="3" max="3" width="22.7109375" style="240" customWidth="1"/>
    <col min="4" max="4" width="10.7109375" style="241" customWidth="1"/>
    <col min="5" max="5" width="18.7109375" style="240" customWidth="1"/>
    <col min="6" max="6" width="35.7109375" style="240" customWidth="1"/>
    <col min="7" max="7" width="75.7109375" style="240" customWidth="1"/>
    <col min="8" max="8" width="35.7109375" style="240" customWidth="1"/>
    <col min="9" max="16" width="20.7109375" style="240" customWidth="1"/>
    <col min="17" max="22" width="9.140625" style="240"/>
    <col min="23" max="16384" width="9.140625" style="168"/>
  </cols>
  <sheetData>
    <row r="1" spans="1:22" ht="15" customHeight="1" x14ac:dyDescent="0.25"/>
    <row r="2" spans="1:22" s="27" customFormat="1" ht="22.5" x14ac:dyDescent="0.25">
      <c r="A2" s="8"/>
      <c r="B2" s="3" t="s">
        <v>0</v>
      </c>
      <c r="C2" s="3"/>
      <c r="D2" s="9"/>
      <c r="E2" s="10"/>
      <c r="F2" s="10"/>
      <c r="G2" s="10"/>
      <c r="H2" s="10"/>
      <c r="I2" s="10"/>
      <c r="J2" s="10"/>
      <c r="K2" s="10"/>
      <c r="L2" s="10"/>
      <c r="M2" s="10"/>
      <c r="N2" s="10"/>
      <c r="O2" s="10"/>
      <c r="P2" s="10"/>
      <c r="Q2" s="10"/>
      <c r="R2" s="10"/>
      <c r="S2" s="10"/>
      <c r="T2" s="10"/>
      <c r="U2" s="10"/>
      <c r="V2" s="10"/>
    </row>
    <row r="3" spans="1:22" s="83" customFormat="1" ht="17.25" x14ac:dyDescent="0.25">
      <c r="A3" s="11"/>
      <c r="B3" s="7" t="s">
        <v>279</v>
      </c>
      <c r="C3" s="7"/>
      <c r="D3" s="12"/>
      <c r="E3" s="13"/>
      <c r="F3" s="13"/>
      <c r="G3" s="13"/>
      <c r="H3" s="13"/>
      <c r="I3" s="13"/>
      <c r="J3" s="13"/>
      <c r="K3" s="13"/>
      <c r="L3" s="13"/>
      <c r="M3" s="13"/>
      <c r="N3" s="13"/>
      <c r="O3" s="13"/>
      <c r="P3" s="13"/>
      <c r="Q3" s="13"/>
      <c r="R3" s="13"/>
      <c r="S3" s="13"/>
      <c r="T3" s="13"/>
      <c r="U3" s="13"/>
      <c r="V3" s="13"/>
    </row>
    <row r="4" spans="1:22" ht="9.75" customHeight="1" thickBot="1" x14ac:dyDescent="0.3">
      <c r="A4" s="242"/>
      <c r="B4" s="242"/>
      <c r="C4" s="242"/>
      <c r="D4" s="243"/>
      <c r="E4" s="242"/>
      <c r="F4" s="242"/>
      <c r="G4" s="242"/>
      <c r="H4" s="242"/>
      <c r="I4" s="242"/>
      <c r="J4" s="242"/>
      <c r="K4" s="242"/>
      <c r="L4" s="242"/>
      <c r="M4" s="242"/>
      <c r="N4" s="242"/>
      <c r="O4" s="242"/>
      <c r="P4" s="242"/>
      <c r="Q4" s="242"/>
      <c r="R4" s="242"/>
      <c r="S4" s="242"/>
      <c r="T4" s="242"/>
      <c r="U4" s="242"/>
      <c r="V4" s="242"/>
    </row>
    <row r="5" spans="1:22" x14ac:dyDescent="0.25">
      <c r="A5" s="242"/>
      <c r="B5" s="420" t="s">
        <v>280</v>
      </c>
      <c r="C5" s="421"/>
      <c r="D5" s="421"/>
      <c r="E5" s="421"/>
      <c r="F5" s="421"/>
      <c r="G5" s="421"/>
      <c r="H5" s="422"/>
      <c r="I5" s="242"/>
      <c r="J5" s="242"/>
      <c r="K5" s="242"/>
      <c r="L5" s="242"/>
      <c r="M5" s="242"/>
      <c r="N5" s="242"/>
      <c r="O5" s="242"/>
      <c r="P5" s="242"/>
      <c r="Q5" s="242"/>
      <c r="R5" s="242"/>
      <c r="S5" s="242"/>
      <c r="T5" s="242"/>
      <c r="U5" s="242"/>
      <c r="V5" s="242"/>
    </row>
    <row r="6" spans="1:22" x14ac:dyDescent="0.25">
      <c r="A6" s="242"/>
      <c r="B6" s="423"/>
      <c r="C6" s="424"/>
      <c r="D6" s="424"/>
      <c r="E6" s="424"/>
      <c r="F6" s="424"/>
      <c r="G6" s="424"/>
      <c r="H6" s="425"/>
      <c r="I6" s="242"/>
      <c r="J6" s="242"/>
      <c r="K6" s="242"/>
      <c r="L6" s="242"/>
      <c r="M6" s="242"/>
      <c r="N6" s="242"/>
      <c r="O6" s="242"/>
      <c r="P6" s="242"/>
      <c r="Q6" s="242"/>
      <c r="R6" s="242"/>
      <c r="S6" s="242"/>
      <c r="T6" s="242"/>
      <c r="U6" s="242"/>
      <c r="V6" s="242"/>
    </row>
    <row r="7" spans="1:22" x14ac:dyDescent="0.25">
      <c r="A7" s="242"/>
      <c r="B7" s="257" t="s">
        <v>281</v>
      </c>
      <c r="C7" s="258"/>
      <c r="D7" s="259"/>
      <c r="E7" s="258" t="s">
        <v>282</v>
      </c>
      <c r="F7" s="258"/>
      <c r="G7" s="258"/>
      <c r="H7" s="260"/>
      <c r="I7" s="242"/>
      <c r="J7" s="242"/>
      <c r="K7" s="242"/>
      <c r="L7" s="242"/>
      <c r="M7" s="242"/>
      <c r="N7" s="242"/>
      <c r="O7" s="242"/>
      <c r="P7" s="242"/>
      <c r="Q7" s="242"/>
      <c r="R7" s="242"/>
      <c r="S7" s="242"/>
      <c r="T7" s="242"/>
      <c r="U7" s="242"/>
      <c r="V7" s="242"/>
    </row>
    <row r="8" spans="1:22" x14ac:dyDescent="0.25">
      <c r="A8" s="242"/>
      <c r="B8" s="257"/>
      <c r="C8" s="268" t="s">
        <v>292</v>
      </c>
      <c r="D8" s="266" t="str">
        <f>IF(C8="Lighting Inventory",CONCATENATE(LEFT(C8,1),":",LEFT(C10,2)),CONCATENATE(LEFT(C8,1),":",C10))</f>
        <v>G:AG27</v>
      </c>
      <c r="E8" s="426" t="str">
        <f>IFERROR(IF(C8="Lighting Inventory",VLOOKUP(D8,Manual!B:N,4,FALSE),VLOOKUP(D8,Manual!B:N,6,FALSE)),"Cell is neither available for input, nor a calculated value.")</f>
        <v>Cell AG27, "General Hours of Use", displays the TRM-deemed hours of use associated with general service bulbs for the building type selected.</v>
      </c>
      <c r="F8" s="426"/>
      <c r="G8" s="426"/>
      <c r="H8" s="427"/>
      <c r="I8" s="242"/>
      <c r="J8" s="242"/>
      <c r="K8" s="242"/>
      <c r="L8" s="242"/>
      <c r="M8" s="242"/>
      <c r="N8" s="242"/>
      <c r="O8" s="242"/>
      <c r="P8" s="242"/>
      <c r="Q8" s="242"/>
      <c r="R8" s="242"/>
      <c r="S8" s="242"/>
      <c r="T8" s="242"/>
      <c r="U8" s="242"/>
      <c r="V8" s="242"/>
    </row>
    <row r="9" spans="1:22" x14ac:dyDescent="0.25">
      <c r="A9" s="242"/>
      <c r="B9" s="257" t="s">
        <v>284</v>
      </c>
      <c r="C9" s="258"/>
      <c r="D9" s="259"/>
      <c r="E9" s="426"/>
      <c r="F9" s="426"/>
      <c r="G9" s="426"/>
      <c r="H9" s="427"/>
      <c r="I9" s="242"/>
      <c r="J9" s="242"/>
      <c r="K9" s="242"/>
      <c r="L9" s="242"/>
      <c r="M9" s="242"/>
      <c r="N9" s="242"/>
      <c r="O9" s="242"/>
      <c r="P9" s="242"/>
      <c r="Q9" s="242"/>
      <c r="R9" s="242"/>
      <c r="S9" s="242"/>
      <c r="T9" s="242"/>
      <c r="U9" s="242"/>
      <c r="V9" s="242"/>
    </row>
    <row r="10" spans="1:22" x14ac:dyDescent="0.25">
      <c r="A10" s="242"/>
      <c r="B10" s="257"/>
      <c r="C10" s="268" t="s">
        <v>3008</v>
      </c>
      <c r="D10" s="259"/>
      <c r="E10" s="426"/>
      <c r="F10" s="426"/>
      <c r="G10" s="426"/>
      <c r="H10" s="427"/>
      <c r="I10" s="242"/>
      <c r="J10" s="242"/>
      <c r="K10" s="242"/>
      <c r="L10" s="242"/>
      <c r="M10" s="242"/>
      <c r="N10" s="242"/>
      <c r="O10" s="242"/>
      <c r="P10" s="242"/>
      <c r="Q10" s="242"/>
      <c r="R10" s="242"/>
      <c r="S10" s="242"/>
      <c r="T10" s="242"/>
      <c r="U10" s="242"/>
      <c r="V10" s="242"/>
    </row>
    <row r="11" spans="1:22" x14ac:dyDescent="0.25">
      <c r="A11" s="242"/>
      <c r="B11" s="257"/>
      <c r="C11" s="261"/>
      <c r="D11" s="259"/>
      <c r="E11" s="426"/>
      <c r="F11" s="426"/>
      <c r="G11" s="426"/>
      <c r="H11" s="427"/>
      <c r="I11" s="242"/>
      <c r="J11" s="242"/>
      <c r="K11" s="242"/>
      <c r="L11" s="242"/>
      <c r="M11" s="242"/>
      <c r="N11" s="242"/>
      <c r="O11" s="242"/>
      <c r="P11" s="242"/>
      <c r="Q11" s="242"/>
      <c r="R11" s="242"/>
      <c r="S11" s="242"/>
      <c r="T11" s="242"/>
      <c r="U11" s="242"/>
      <c r="V11" s="242"/>
    </row>
    <row r="12" spans="1:22" ht="9.75" customHeight="1" thickBot="1" x14ac:dyDescent="0.3">
      <c r="A12" s="242"/>
      <c r="B12" s="262"/>
      <c r="C12" s="263"/>
      <c r="D12" s="264"/>
      <c r="E12" s="263"/>
      <c r="F12" s="263"/>
      <c r="G12" s="263"/>
      <c r="H12" s="265"/>
      <c r="I12" s="242"/>
      <c r="J12" s="242"/>
      <c r="K12" s="242"/>
      <c r="L12" s="242"/>
      <c r="M12" s="242"/>
      <c r="N12" s="242"/>
      <c r="O12" s="242"/>
      <c r="P12" s="242"/>
      <c r="Q12" s="242"/>
      <c r="R12" s="242"/>
      <c r="S12" s="242"/>
      <c r="T12" s="242"/>
      <c r="U12" s="242"/>
      <c r="V12" s="242"/>
    </row>
    <row r="13" spans="1:22" ht="16.5" thickBot="1" x14ac:dyDescent="0.3">
      <c r="A13" s="242"/>
      <c r="B13" s="242"/>
      <c r="C13" s="242"/>
      <c r="D13" s="243"/>
      <c r="E13" s="242"/>
      <c r="F13" s="242"/>
      <c r="G13" s="242"/>
      <c r="H13" s="242"/>
      <c r="I13" s="242"/>
      <c r="J13" s="242"/>
      <c r="K13" s="242"/>
      <c r="L13" s="242"/>
      <c r="M13" s="242"/>
      <c r="N13" s="242"/>
      <c r="O13" s="242"/>
      <c r="P13" s="242"/>
      <c r="Q13" s="242"/>
      <c r="R13" s="242"/>
      <c r="S13" s="242"/>
      <c r="T13" s="242"/>
      <c r="U13" s="242"/>
      <c r="V13" s="242"/>
    </row>
    <row r="14" spans="1:22" ht="16.5" thickBot="1" x14ac:dyDescent="0.3">
      <c r="A14" s="242"/>
      <c r="B14" s="428" t="s">
        <v>286</v>
      </c>
      <c r="C14" s="429"/>
      <c r="D14" s="14" t="s">
        <v>287</v>
      </c>
      <c r="E14" s="14" t="s">
        <v>288</v>
      </c>
      <c r="F14" s="14" t="s">
        <v>289</v>
      </c>
      <c r="G14" s="14" t="s">
        <v>290</v>
      </c>
      <c r="H14" s="15" t="s">
        <v>291</v>
      </c>
      <c r="I14" s="242"/>
      <c r="J14" s="242"/>
      <c r="K14" s="242"/>
      <c r="L14" s="242"/>
      <c r="M14" s="242"/>
      <c r="N14" s="242"/>
      <c r="O14" s="242"/>
      <c r="P14" s="242"/>
      <c r="Q14" s="242"/>
      <c r="R14" s="242"/>
      <c r="S14" s="242"/>
      <c r="T14" s="242"/>
      <c r="U14" s="242"/>
      <c r="V14" s="242"/>
    </row>
    <row r="15" spans="1:22" ht="48" customHeight="1" x14ac:dyDescent="0.25">
      <c r="B15" s="430" t="s">
        <v>292</v>
      </c>
      <c r="C15" s="431"/>
      <c r="D15" s="244" t="s">
        <v>293</v>
      </c>
      <c r="E15" s="245" t="s">
        <v>294</v>
      </c>
      <c r="F15" s="245" t="s">
        <v>39</v>
      </c>
      <c r="G15" s="246" t="s">
        <v>295</v>
      </c>
      <c r="H15" s="247" t="s">
        <v>296</v>
      </c>
    </row>
    <row r="16" spans="1:22" ht="48" customHeight="1" x14ac:dyDescent="0.25">
      <c r="B16" s="416" t="s">
        <v>292</v>
      </c>
      <c r="C16" s="417"/>
      <c r="D16" s="248" t="s">
        <v>297</v>
      </c>
      <c r="E16" s="249" t="s">
        <v>294</v>
      </c>
      <c r="F16" s="249" t="s">
        <v>44</v>
      </c>
      <c r="G16" s="250" t="s">
        <v>298</v>
      </c>
      <c r="H16" s="247" t="s">
        <v>296</v>
      </c>
    </row>
    <row r="17" spans="2:8" ht="48" customHeight="1" x14ac:dyDescent="0.25">
      <c r="B17" s="416" t="s">
        <v>292</v>
      </c>
      <c r="C17" s="417"/>
      <c r="D17" s="248" t="s">
        <v>299</v>
      </c>
      <c r="E17" s="249" t="s">
        <v>294</v>
      </c>
      <c r="F17" s="249" t="s">
        <v>49</v>
      </c>
      <c r="G17" s="250" t="s">
        <v>300</v>
      </c>
      <c r="H17" s="247" t="s">
        <v>296</v>
      </c>
    </row>
    <row r="18" spans="2:8" ht="48" customHeight="1" x14ac:dyDescent="0.25">
      <c r="B18" s="416" t="s">
        <v>292</v>
      </c>
      <c r="C18" s="417"/>
      <c r="D18" s="248" t="s">
        <v>301</v>
      </c>
      <c r="E18" s="249" t="s">
        <v>294</v>
      </c>
      <c r="F18" s="249" t="s">
        <v>54</v>
      </c>
      <c r="G18" s="250" t="s">
        <v>302</v>
      </c>
      <c r="H18" s="247" t="s">
        <v>296</v>
      </c>
    </row>
    <row r="19" spans="2:8" ht="48" customHeight="1" x14ac:dyDescent="0.25">
      <c r="B19" s="416" t="s">
        <v>292</v>
      </c>
      <c r="C19" s="417"/>
      <c r="D19" s="248" t="s">
        <v>303</v>
      </c>
      <c r="E19" s="249" t="s">
        <v>294</v>
      </c>
      <c r="F19" s="249" t="s">
        <v>59</v>
      </c>
      <c r="G19" s="250" t="s">
        <v>304</v>
      </c>
      <c r="H19" s="247" t="s">
        <v>296</v>
      </c>
    </row>
    <row r="20" spans="2:8" ht="48" customHeight="1" x14ac:dyDescent="0.25">
      <c r="B20" s="416" t="s">
        <v>292</v>
      </c>
      <c r="C20" s="417"/>
      <c r="D20" s="248" t="s">
        <v>305</v>
      </c>
      <c r="E20" s="249" t="s">
        <v>294</v>
      </c>
      <c r="F20" s="249" t="s">
        <v>64</v>
      </c>
      <c r="G20" s="250" t="s">
        <v>306</v>
      </c>
      <c r="H20" s="247" t="s">
        <v>296</v>
      </c>
    </row>
    <row r="21" spans="2:8" ht="48" customHeight="1" x14ac:dyDescent="0.25">
      <c r="B21" s="416" t="s">
        <v>292</v>
      </c>
      <c r="C21" s="417"/>
      <c r="D21" s="248" t="s">
        <v>307</v>
      </c>
      <c r="E21" s="249" t="s">
        <v>294</v>
      </c>
      <c r="F21" s="249" t="s">
        <v>69</v>
      </c>
      <c r="G21" s="250" t="s">
        <v>308</v>
      </c>
      <c r="H21" s="247" t="s">
        <v>296</v>
      </c>
    </row>
    <row r="22" spans="2:8" ht="48" customHeight="1" x14ac:dyDescent="0.25">
      <c r="B22" s="416" t="s">
        <v>292</v>
      </c>
      <c r="C22" s="417"/>
      <c r="D22" s="248" t="s">
        <v>309</v>
      </c>
      <c r="E22" s="249" t="s">
        <v>294</v>
      </c>
      <c r="F22" s="249" t="s">
        <v>74</v>
      </c>
      <c r="G22" s="250" t="s">
        <v>310</v>
      </c>
      <c r="H22" s="247" t="s">
        <v>296</v>
      </c>
    </row>
    <row r="23" spans="2:8" ht="48" customHeight="1" x14ac:dyDescent="0.25">
      <c r="B23" s="416" t="s">
        <v>292</v>
      </c>
      <c r="C23" s="417"/>
      <c r="D23" s="248" t="s">
        <v>311</v>
      </c>
      <c r="E23" s="249" t="s">
        <v>294</v>
      </c>
      <c r="F23" s="249" t="s">
        <v>79</v>
      </c>
      <c r="G23" s="250" t="s">
        <v>312</v>
      </c>
      <c r="H23" s="247" t="s">
        <v>296</v>
      </c>
    </row>
    <row r="24" spans="2:8" ht="48" customHeight="1" x14ac:dyDescent="0.25">
      <c r="B24" s="416" t="s">
        <v>292</v>
      </c>
      <c r="C24" s="417"/>
      <c r="D24" s="248" t="s">
        <v>313</v>
      </c>
      <c r="E24" s="249" t="s">
        <v>294</v>
      </c>
      <c r="F24" s="249" t="s">
        <v>41</v>
      </c>
      <c r="G24" s="250" t="s">
        <v>314</v>
      </c>
      <c r="H24" s="247" t="s">
        <v>296</v>
      </c>
    </row>
    <row r="25" spans="2:8" ht="48" customHeight="1" x14ac:dyDescent="0.25">
      <c r="B25" s="416" t="s">
        <v>292</v>
      </c>
      <c r="C25" s="417"/>
      <c r="D25" s="248" t="s">
        <v>315</v>
      </c>
      <c r="E25" s="249" t="s">
        <v>294</v>
      </c>
      <c r="F25" s="249" t="s">
        <v>46</v>
      </c>
      <c r="G25" s="250" t="s">
        <v>316</v>
      </c>
      <c r="H25" s="247" t="s">
        <v>296</v>
      </c>
    </row>
    <row r="26" spans="2:8" ht="48" customHeight="1" x14ac:dyDescent="0.25">
      <c r="B26" s="416" t="s">
        <v>292</v>
      </c>
      <c r="C26" s="417"/>
      <c r="D26" s="248" t="s">
        <v>317</v>
      </c>
      <c r="E26" s="249" t="s">
        <v>294</v>
      </c>
      <c r="F26" s="249" t="s">
        <v>2679</v>
      </c>
      <c r="G26" s="250" t="s">
        <v>318</v>
      </c>
      <c r="H26" s="247" t="s">
        <v>296</v>
      </c>
    </row>
    <row r="27" spans="2:8" ht="48" customHeight="1" x14ac:dyDescent="0.25">
      <c r="B27" s="416" t="s">
        <v>292</v>
      </c>
      <c r="C27" s="417"/>
      <c r="D27" s="248" t="s">
        <v>319</v>
      </c>
      <c r="E27" s="249" t="s">
        <v>294</v>
      </c>
      <c r="F27" s="249" t="s">
        <v>56</v>
      </c>
      <c r="G27" s="250" t="s">
        <v>320</v>
      </c>
      <c r="H27" s="247" t="s">
        <v>296</v>
      </c>
    </row>
    <row r="28" spans="2:8" ht="48" customHeight="1" x14ac:dyDescent="0.25">
      <c r="B28" s="416" t="s">
        <v>292</v>
      </c>
      <c r="C28" s="417"/>
      <c r="D28" s="248" t="s">
        <v>321</v>
      </c>
      <c r="E28" s="249" t="s">
        <v>294</v>
      </c>
      <c r="F28" s="249" t="s">
        <v>61</v>
      </c>
      <c r="G28" s="250" t="s">
        <v>322</v>
      </c>
      <c r="H28" s="251" t="s">
        <v>332</v>
      </c>
    </row>
    <row r="29" spans="2:8" ht="48" customHeight="1" x14ac:dyDescent="0.25">
      <c r="B29" s="416" t="s">
        <v>292</v>
      </c>
      <c r="C29" s="417"/>
      <c r="D29" s="248" t="s">
        <v>323</v>
      </c>
      <c r="E29" s="249" t="s">
        <v>294</v>
      </c>
      <c r="F29" s="249" t="s">
        <v>66</v>
      </c>
      <c r="G29" s="250" t="s">
        <v>324</v>
      </c>
      <c r="H29" s="247" t="s">
        <v>296</v>
      </c>
    </row>
    <row r="30" spans="2:8" ht="48" customHeight="1" x14ac:dyDescent="0.25">
      <c r="B30" s="416" t="s">
        <v>292</v>
      </c>
      <c r="C30" s="417"/>
      <c r="D30" s="248" t="s">
        <v>325</v>
      </c>
      <c r="E30" s="249" t="s">
        <v>294</v>
      </c>
      <c r="F30" s="249" t="s">
        <v>71</v>
      </c>
      <c r="G30" s="250" t="s">
        <v>326</v>
      </c>
      <c r="H30" s="247" t="s">
        <v>296</v>
      </c>
    </row>
    <row r="31" spans="2:8" ht="48" customHeight="1" x14ac:dyDescent="0.25">
      <c r="B31" s="416" t="s">
        <v>292</v>
      </c>
      <c r="C31" s="417"/>
      <c r="D31" s="248" t="s">
        <v>327</v>
      </c>
      <c r="E31" s="249" t="s">
        <v>294</v>
      </c>
      <c r="F31" s="249" t="s">
        <v>76</v>
      </c>
      <c r="G31" s="250" t="s">
        <v>328</v>
      </c>
      <c r="H31" s="247" t="s">
        <v>296</v>
      </c>
    </row>
    <row r="32" spans="2:8" ht="48" customHeight="1" x14ac:dyDescent="0.25">
      <c r="B32" s="416" t="s">
        <v>292</v>
      </c>
      <c r="C32" s="417"/>
      <c r="D32" s="248" t="s">
        <v>2908</v>
      </c>
      <c r="E32" s="249" t="s">
        <v>294</v>
      </c>
      <c r="F32" s="249" t="s">
        <v>99</v>
      </c>
      <c r="G32" s="250" t="s">
        <v>331</v>
      </c>
      <c r="H32" s="251" t="s">
        <v>332</v>
      </c>
    </row>
    <row r="33" spans="2:8" ht="48" customHeight="1" x14ac:dyDescent="0.25">
      <c r="B33" s="416" t="s">
        <v>292</v>
      </c>
      <c r="C33" s="417"/>
      <c r="D33" s="248" t="s">
        <v>2909</v>
      </c>
      <c r="E33" s="249" t="s">
        <v>294</v>
      </c>
      <c r="F33" s="249" t="s">
        <v>2880</v>
      </c>
      <c r="G33" s="250" t="s">
        <v>2910</v>
      </c>
      <c r="H33" s="252" t="s">
        <v>296</v>
      </c>
    </row>
    <row r="34" spans="2:8" ht="48" customHeight="1" x14ac:dyDescent="0.25">
      <c r="B34" s="416" t="s">
        <v>292</v>
      </c>
      <c r="C34" s="417"/>
      <c r="D34" s="248" t="s">
        <v>2911</v>
      </c>
      <c r="E34" s="249" t="s">
        <v>294</v>
      </c>
      <c r="F34" s="249" t="s">
        <v>100</v>
      </c>
      <c r="G34" s="250" t="s">
        <v>333</v>
      </c>
      <c r="H34" s="251" t="s">
        <v>332</v>
      </c>
    </row>
    <row r="35" spans="2:8" ht="48" customHeight="1" x14ac:dyDescent="0.25">
      <c r="B35" s="416" t="s">
        <v>292</v>
      </c>
      <c r="C35" s="417"/>
      <c r="D35" s="248" t="s">
        <v>2912</v>
      </c>
      <c r="E35" s="249" t="s">
        <v>294</v>
      </c>
      <c r="F35" s="249" t="s">
        <v>101</v>
      </c>
      <c r="G35" s="250" t="s">
        <v>334</v>
      </c>
      <c r="H35" s="252" t="s">
        <v>296</v>
      </c>
    </row>
    <row r="36" spans="2:8" ht="48" customHeight="1" x14ac:dyDescent="0.25">
      <c r="B36" s="416" t="s">
        <v>292</v>
      </c>
      <c r="C36" s="417"/>
      <c r="D36" s="248" t="s">
        <v>2913</v>
      </c>
      <c r="E36" s="249" t="s">
        <v>294</v>
      </c>
      <c r="F36" s="249" t="s">
        <v>102</v>
      </c>
      <c r="G36" s="250" t="s">
        <v>335</v>
      </c>
      <c r="H36" s="252" t="s">
        <v>296</v>
      </c>
    </row>
    <row r="37" spans="2:8" ht="48" customHeight="1" x14ac:dyDescent="0.25">
      <c r="B37" s="416" t="s">
        <v>292</v>
      </c>
      <c r="C37" s="417"/>
      <c r="D37" s="248" t="s">
        <v>2914</v>
      </c>
      <c r="E37" s="249" t="s">
        <v>294</v>
      </c>
      <c r="F37" s="249" t="s">
        <v>2976</v>
      </c>
      <c r="G37" s="250" t="s">
        <v>3012</v>
      </c>
      <c r="H37" s="251" t="s">
        <v>332</v>
      </c>
    </row>
    <row r="38" spans="2:8" ht="48" customHeight="1" x14ac:dyDescent="0.25">
      <c r="B38" s="416" t="s">
        <v>292</v>
      </c>
      <c r="C38" s="417"/>
      <c r="D38" s="248" t="s">
        <v>2915</v>
      </c>
      <c r="E38" s="249" t="s">
        <v>330</v>
      </c>
      <c r="F38" s="249" t="s">
        <v>2975</v>
      </c>
      <c r="G38" s="250" t="s">
        <v>3013</v>
      </c>
      <c r="H38" s="251" t="s">
        <v>332</v>
      </c>
    </row>
    <row r="39" spans="2:8" ht="48" customHeight="1" x14ac:dyDescent="0.25">
      <c r="B39" s="416" t="s">
        <v>292</v>
      </c>
      <c r="C39" s="417"/>
      <c r="D39" s="248" t="s">
        <v>3014</v>
      </c>
      <c r="E39" s="249" t="s">
        <v>330</v>
      </c>
      <c r="F39" s="249" t="s">
        <v>2987</v>
      </c>
      <c r="G39" s="250" t="s">
        <v>3015</v>
      </c>
      <c r="H39" s="251" t="s">
        <v>332</v>
      </c>
    </row>
    <row r="40" spans="2:8" ht="48" customHeight="1" x14ac:dyDescent="0.25">
      <c r="B40" s="416" t="s">
        <v>292</v>
      </c>
      <c r="C40" s="417"/>
      <c r="D40" s="248" t="s">
        <v>2916</v>
      </c>
      <c r="E40" s="249" t="s">
        <v>330</v>
      </c>
      <c r="F40" s="249" t="s">
        <v>104</v>
      </c>
      <c r="G40" s="250" t="s">
        <v>336</v>
      </c>
      <c r="H40" s="251" t="s">
        <v>332</v>
      </c>
    </row>
    <row r="41" spans="2:8" ht="48" customHeight="1" x14ac:dyDescent="0.25">
      <c r="B41" s="416" t="s">
        <v>292</v>
      </c>
      <c r="C41" s="417"/>
      <c r="D41" s="248" t="s">
        <v>2917</v>
      </c>
      <c r="E41" s="249" t="s">
        <v>294</v>
      </c>
      <c r="F41" s="249" t="s">
        <v>105</v>
      </c>
      <c r="G41" s="250" t="s">
        <v>337</v>
      </c>
      <c r="H41" s="251" t="s">
        <v>338</v>
      </c>
    </row>
    <row r="42" spans="2:8" ht="48" customHeight="1" x14ac:dyDescent="0.25">
      <c r="B42" s="416" t="s">
        <v>292</v>
      </c>
      <c r="C42" s="417"/>
      <c r="D42" s="248" t="s">
        <v>2918</v>
      </c>
      <c r="E42" s="249" t="s">
        <v>294</v>
      </c>
      <c r="F42" s="249" t="s">
        <v>106</v>
      </c>
      <c r="G42" s="250" t="s">
        <v>339</v>
      </c>
      <c r="H42" s="251" t="s">
        <v>338</v>
      </c>
    </row>
    <row r="43" spans="2:8" ht="48" customHeight="1" x14ac:dyDescent="0.25">
      <c r="B43" s="416" t="s">
        <v>292</v>
      </c>
      <c r="C43" s="417"/>
      <c r="D43" s="248" t="s">
        <v>2919</v>
      </c>
      <c r="E43" s="249" t="s">
        <v>294</v>
      </c>
      <c r="F43" s="249" t="s">
        <v>108</v>
      </c>
      <c r="G43" s="250" t="s">
        <v>340</v>
      </c>
      <c r="H43" s="251" t="s">
        <v>338</v>
      </c>
    </row>
    <row r="44" spans="2:8" ht="48" customHeight="1" x14ac:dyDescent="0.25">
      <c r="B44" s="416" t="s">
        <v>292</v>
      </c>
      <c r="C44" s="417"/>
      <c r="D44" s="248" t="s">
        <v>2920</v>
      </c>
      <c r="E44" s="249" t="s">
        <v>330</v>
      </c>
      <c r="F44" s="249" t="s">
        <v>110</v>
      </c>
      <c r="G44" s="250" t="s">
        <v>341</v>
      </c>
      <c r="H44" s="252" t="s">
        <v>296</v>
      </c>
    </row>
    <row r="45" spans="2:8" ht="48" customHeight="1" x14ac:dyDescent="0.25">
      <c r="B45" s="416" t="s">
        <v>292</v>
      </c>
      <c r="C45" s="417"/>
      <c r="D45" s="248" t="s">
        <v>2921</v>
      </c>
      <c r="E45" s="249" t="s">
        <v>330</v>
      </c>
      <c r="F45" s="249" t="s">
        <v>112</v>
      </c>
      <c r="G45" s="250" t="s">
        <v>342</v>
      </c>
      <c r="H45" s="252" t="s">
        <v>296</v>
      </c>
    </row>
    <row r="46" spans="2:8" ht="48" customHeight="1" x14ac:dyDescent="0.25">
      <c r="B46" s="416" t="s">
        <v>292</v>
      </c>
      <c r="C46" s="417"/>
      <c r="D46" s="248" t="s">
        <v>3006</v>
      </c>
      <c r="E46" s="249" t="s">
        <v>330</v>
      </c>
      <c r="F46" s="249" t="s">
        <v>114</v>
      </c>
      <c r="G46" s="250" t="s">
        <v>343</v>
      </c>
      <c r="H46" s="252" t="s">
        <v>296</v>
      </c>
    </row>
    <row r="47" spans="2:8" ht="48" customHeight="1" x14ac:dyDescent="0.25">
      <c r="B47" s="416" t="s">
        <v>292</v>
      </c>
      <c r="C47" s="417"/>
      <c r="D47" s="248" t="s">
        <v>3007</v>
      </c>
      <c r="E47" s="249" t="s">
        <v>330</v>
      </c>
      <c r="F47" s="249" t="s">
        <v>115</v>
      </c>
      <c r="G47" s="250" t="s">
        <v>344</v>
      </c>
      <c r="H47" s="252" t="s">
        <v>296</v>
      </c>
    </row>
    <row r="48" spans="2:8" ht="48" customHeight="1" x14ac:dyDescent="0.25">
      <c r="B48" s="416" t="s">
        <v>292</v>
      </c>
      <c r="C48" s="417"/>
      <c r="D48" s="248" t="s">
        <v>3008</v>
      </c>
      <c r="E48" s="249" t="s">
        <v>330</v>
      </c>
      <c r="F48" s="249" t="s">
        <v>116</v>
      </c>
      <c r="G48" s="250" t="s">
        <v>345</v>
      </c>
      <c r="H48" s="252" t="s">
        <v>296</v>
      </c>
    </row>
    <row r="49" spans="2:8" ht="48" customHeight="1" x14ac:dyDescent="0.25">
      <c r="B49" s="416" t="s">
        <v>292</v>
      </c>
      <c r="C49" s="417"/>
      <c r="D49" s="248" t="s">
        <v>3009</v>
      </c>
      <c r="E49" s="249" t="s">
        <v>330</v>
      </c>
      <c r="F49" s="249" t="s">
        <v>117</v>
      </c>
      <c r="G49" s="250" t="s">
        <v>346</v>
      </c>
      <c r="H49" s="252" t="s">
        <v>296</v>
      </c>
    </row>
    <row r="50" spans="2:8" ht="48" customHeight="1" x14ac:dyDescent="0.25">
      <c r="B50" s="416" t="s">
        <v>292</v>
      </c>
      <c r="C50" s="417"/>
      <c r="D50" s="248" t="s">
        <v>2920</v>
      </c>
      <c r="E50" s="249" t="s">
        <v>294</v>
      </c>
      <c r="F50" s="249" t="s">
        <v>118</v>
      </c>
      <c r="G50" s="250" t="s">
        <v>347</v>
      </c>
      <c r="H50" s="251" t="s">
        <v>338</v>
      </c>
    </row>
    <row r="51" spans="2:8" ht="48" customHeight="1" x14ac:dyDescent="0.25">
      <c r="B51" s="416" t="s">
        <v>292</v>
      </c>
      <c r="C51" s="417"/>
      <c r="D51" s="248" t="s">
        <v>2921</v>
      </c>
      <c r="E51" s="249" t="s">
        <v>294</v>
      </c>
      <c r="F51" s="249" t="s">
        <v>119</v>
      </c>
      <c r="G51" s="250" t="s">
        <v>348</v>
      </c>
      <c r="H51" s="251" t="s">
        <v>338</v>
      </c>
    </row>
    <row r="52" spans="2:8" ht="48" customHeight="1" x14ac:dyDescent="0.25">
      <c r="B52" s="416" t="s">
        <v>292</v>
      </c>
      <c r="C52" s="417"/>
      <c r="D52" s="248" t="s">
        <v>3010</v>
      </c>
      <c r="E52" s="249" t="s">
        <v>294</v>
      </c>
      <c r="F52" s="249" t="s">
        <v>2905</v>
      </c>
      <c r="G52" s="250" t="s">
        <v>2922</v>
      </c>
      <c r="H52" s="251" t="s">
        <v>2923</v>
      </c>
    </row>
    <row r="53" spans="2:8" ht="48" customHeight="1" x14ac:dyDescent="0.25">
      <c r="B53" s="416" t="s">
        <v>283</v>
      </c>
      <c r="C53" s="417"/>
      <c r="D53" s="248" t="s">
        <v>349</v>
      </c>
      <c r="E53" s="249" t="s">
        <v>294</v>
      </c>
      <c r="F53" s="249" t="s">
        <v>2880</v>
      </c>
      <c r="G53" s="250" t="s">
        <v>350</v>
      </c>
      <c r="H53" s="252" t="s">
        <v>296</v>
      </c>
    </row>
    <row r="54" spans="2:8" ht="48" customHeight="1" x14ac:dyDescent="0.25">
      <c r="B54" s="416" t="s">
        <v>283</v>
      </c>
      <c r="C54" s="417"/>
      <c r="D54" s="248" t="s">
        <v>293</v>
      </c>
      <c r="E54" s="249" t="s">
        <v>294</v>
      </c>
      <c r="F54" s="249" t="s">
        <v>351</v>
      </c>
      <c r="G54" s="250" t="s">
        <v>352</v>
      </c>
      <c r="H54" s="252" t="s">
        <v>296</v>
      </c>
    </row>
    <row r="55" spans="2:8" ht="48" customHeight="1" x14ac:dyDescent="0.25">
      <c r="B55" s="416" t="s">
        <v>283</v>
      </c>
      <c r="C55" s="417"/>
      <c r="D55" s="248" t="s">
        <v>353</v>
      </c>
      <c r="E55" s="249" t="s">
        <v>294</v>
      </c>
      <c r="F55" s="249" t="s">
        <v>354</v>
      </c>
      <c r="G55" s="250" t="s">
        <v>355</v>
      </c>
      <c r="H55" s="251" t="s">
        <v>356</v>
      </c>
    </row>
    <row r="56" spans="2:8" ht="48" customHeight="1" x14ac:dyDescent="0.25">
      <c r="B56" s="416" t="s">
        <v>283</v>
      </c>
      <c r="C56" s="417"/>
      <c r="D56" s="248" t="s">
        <v>357</v>
      </c>
      <c r="E56" s="249" t="s">
        <v>330</v>
      </c>
      <c r="F56" s="249" t="s">
        <v>358</v>
      </c>
      <c r="G56" s="250" t="s">
        <v>359</v>
      </c>
      <c r="H56" s="251" t="s">
        <v>356</v>
      </c>
    </row>
    <row r="57" spans="2:8" ht="48" customHeight="1" x14ac:dyDescent="0.25">
      <c r="B57" s="416" t="s">
        <v>283</v>
      </c>
      <c r="C57" s="417"/>
      <c r="D57" s="248" t="s">
        <v>360</v>
      </c>
      <c r="E57" s="249" t="s">
        <v>294</v>
      </c>
      <c r="F57" s="249" t="s">
        <v>3016</v>
      </c>
      <c r="G57" s="250" t="s">
        <v>361</v>
      </c>
      <c r="H57" s="251" t="s">
        <v>356</v>
      </c>
    </row>
    <row r="58" spans="2:8" ht="48" customHeight="1" x14ac:dyDescent="0.25">
      <c r="B58" s="416" t="s">
        <v>283</v>
      </c>
      <c r="C58" s="417"/>
      <c r="D58" s="248" t="s">
        <v>362</v>
      </c>
      <c r="E58" s="249" t="s">
        <v>330</v>
      </c>
      <c r="F58" s="249" t="s">
        <v>363</v>
      </c>
      <c r="G58" s="250" t="s">
        <v>364</v>
      </c>
      <c r="H58" s="251" t="s">
        <v>356</v>
      </c>
    </row>
    <row r="59" spans="2:8" ht="48" customHeight="1" x14ac:dyDescent="0.25">
      <c r="B59" s="416" t="s">
        <v>283</v>
      </c>
      <c r="C59" s="417"/>
      <c r="D59" s="248" t="s">
        <v>365</v>
      </c>
      <c r="E59" s="249" t="s">
        <v>294</v>
      </c>
      <c r="F59" s="249" t="s">
        <v>366</v>
      </c>
      <c r="G59" s="250" t="s">
        <v>367</v>
      </c>
      <c r="H59" s="251" t="s">
        <v>356</v>
      </c>
    </row>
    <row r="60" spans="2:8" ht="48" customHeight="1" x14ac:dyDescent="0.25">
      <c r="B60" s="416" t="s">
        <v>283</v>
      </c>
      <c r="C60" s="417"/>
      <c r="D60" s="248" t="s">
        <v>285</v>
      </c>
      <c r="E60" s="249" t="s">
        <v>330</v>
      </c>
      <c r="F60" s="249" t="s">
        <v>368</v>
      </c>
      <c r="G60" s="250" t="s">
        <v>369</v>
      </c>
      <c r="H60" s="251" t="s">
        <v>356</v>
      </c>
    </row>
    <row r="61" spans="2:8" ht="48" customHeight="1" x14ac:dyDescent="0.25">
      <c r="B61" s="416" t="s">
        <v>283</v>
      </c>
      <c r="C61" s="417"/>
      <c r="D61" s="248" t="s">
        <v>370</v>
      </c>
      <c r="E61" s="249" t="s">
        <v>330</v>
      </c>
      <c r="F61" s="249" t="s">
        <v>371</v>
      </c>
      <c r="G61" s="250" t="s">
        <v>372</v>
      </c>
      <c r="H61" s="251" t="s">
        <v>356</v>
      </c>
    </row>
    <row r="62" spans="2:8" ht="48" customHeight="1" x14ac:dyDescent="0.25">
      <c r="B62" s="416" t="s">
        <v>283</v>
      </c>
      <c r="C62" s="417"/>
      <c r="D62" s="248" t="s">
        <v>370</v>
      </c>
      <c r="E62" s="249" t="s">
        <v>330</v>
      </c>
      <c r="F62" s="249" t="s">
        <v>103</v>
      </c>
      <c r="G62" s="250" t="s">
        <v>373</v>
      </c>
      <c r="H62" s="251" t="s">
        <v>374</v>
      </c>
    </row>
    <row r="63" spans="2:8" ht="48" customHeight="1" x14ac:dyDescent="0.25">
      <c r="B63" s="416" t="s">
        <v>283</v>
      </c>
      <c r="C63" s="417"/>
      <c r="D63" s="248" t="s">
        <v>375</v>
      </c>
      <c r="E63" s="249" t="s">
        <v>330</v>
      </c>
      <c r="F63" s="249" t="s">
        <v>376</v>
      </c>
      <c r="G63" s="250" t="s">
        <v>377</v>
      </c>
      <c r="H63" s="251" t="s">
        <v>356</v>
      </c>
    </row>
    <row r="64" spans="2:8" ht="48" customHeight="1" x14ac:dyDescent="0.25">
      <c r="B64" s="416" t="s">
        <v>283</v>
      </c>
      <c r="C64" s="417"/>
      <c r="D64" s="248" t="s">
        <v>375</v>
      </c>
      <c r="E64" s="249" t="s">
        <v>330</v>
      </c>
      <c r="F64" s="249" t="s">
        <v>378</v>
      </c>
      <c r="G64" s="250" t="s">
        <v>379</v>
      </c>
      <c r="H64" s="251" t="s">
        <v>374</v>
      </c>
    </row>
    <row r="65" spans="2:8" ht="48" customHeight="1" x14ac:dyDescent="0.25">
      <c r="B65" s="416" t="s">
        <v>283</v>
      </c>
      <c r="C65" s="417"/>
      <c r="D65" s="248" t="s">
        <v>380</v>
      </c>
      <c r="E65" s="249" t="s">
        <v>294</v>
      </c>
      <c r="F65" s="249" t="s">
        <v>381</v>
      </c>
      <c r="G65" s="250" t="s">
        <v>382</v>
      </c>
      <c r="H65" s="252" t="s">
        <v>296</v>
      </c>
    </row>
    <row r="66" spans="2:8" ht="48" customHeight="1" x14ac:dyDescent="0.25">
      <c r="B66" s="416" t="s">
        <v>283</v>
      </c>
      <c r="C66" s="417"/>
      <c r="D66" s="248" t="s">
        <v>383</v>
      </c>
      <c r="E66" s="249" t="s">
        <v>330</v>
      </c>
      <c r="F66" s="249" t="s">
        <v>384</v>
      </c>
      <c r="G66" s="250" t="s">
        <v>385</v>
      </c>
      <c r="H66" s="252" t="s">
        <v>296</v>
      </c>
    </row>
    <row r="67" spans="2:8" ht="48" customHeight="1" x14ac:dyDescent="0.25">
      <c r="B67" s="416" t="s">
        <v>283</v>
      </c>
      <c r="C67" s="417"/>
      <c r="D67" s="248" t="s">
        <v>386</v>
      </c>
      <c r="E67" s="249" t="s">
        <v>294</v>
      </c>
      <c r="F67" s="249" t="s">
        <v>387</v>
      </c>
      <c r="G67" s="250" t="s">
        <v>388</v>
      </c>
      <c r="H67" s="252" t="s">
        <v>296</v>
      </c>
    </row>
    <row r="68" spans="2:8" ht="48" customHeight="1" x14ac:dyDescent="0.25">
      <c r="B68" s="416" t="s">
        <v>283</v>
      </c>
      <c r="C68" s="417"/>
      <c r="D68" s="248" t="s">
        <v>389</v>
      </c>
      <c r="E68" s="249" t="s">
        <v>330</v>
      </c>
      <c r="F68" s="249" t="s">
        <v>390</v>
      </c>
      <c r="G68" s="250" t="s">
        <v>391</v>
      </c>
      <c r="H68" s="252" t="s">
        <v>296</v>
      </c>
    </row>
    <row r="69" spans="2:8" ht="48" customHeight="1" x14ac:dyDescent="0.25">
      <c r="B69" s="416" t="s">
        <v>283</v>
      </c>
      <c r="C69" s="417"/>
      <c r="D69" s="248" t="s">
        <v>392</v>
      </c>
      <c r="E69" s="249" t="s">
        <v>294</v>
      </c>
      <c r="F69" s="249" t="s">
        <v>3011</v>
      </c>
      <c r="G69" s="250" t="s">
        <v>393</v>
      </c>
      <c r="H69" s="252" t="s">
        <v>296</v>
      </c>
    </row>
    <row r="70" spans="2:8" ht="48" customHeight="1" x14ac:dyDescent="0.25">
      <c r="B70" s="416" t="s">
        <v>283</v>
      </c>
      <c r="C70" s="417"/>
      <c r="D70" s="248" t="s">
        <v>394</v>
      </c>
      <c r="E70" s="249" t="s">
        <v>330</v>
      </c>
      <c r="F70" s="249" t="s">
        <v>395</v>
      </c>
      <c r="G70" s="250" t="s">
        <v>396</v>
      </c>
      <c r="H70" s="252" t="s">
        <v>296</v>
      </c>
    </row>
    <row r="71" spans="2:8" ht="48" customHeight="1" x14ac:dyDescent="0.25">
      <c r="B71" s="416" t="s">
        <v>283</v>
      </c>
      <c r="C71" s="417"/>
      <c r="D71" s="248" t="s">
        <v>397</v>
      </c>
      <c r="E71" s="249" t="s">
        <v>294</v>
      </c>
      <c r="F71" s="249" t="s">
        <v>398</v>
      </c>
      <c r="G71" s="250" t="s">
        <v>399</v>
      </c>
      <c r="H71" s="252" t="s">
        <v>296</v>
      </c>
    </row>
    <row r="72" spans="2:8" ht="48" customHeight="1" x14ac:dyDescent="0.25">
      <c r="B72" s="416" t="s">
        <v>283</v>
      </c>
      <c r="C72" s="417"/>
      <c r="D72" s="248" t="s">
        <v>400</v>
      </c>
      <c r="E72" s="249" t="s">
        <v>330</v>
      </c>
      <c r="F72" s="249" t="s">
        <v>401</v>
      </c>
      <c r="G72" s="250" t="s">
        <v>402</v>
      </c>
      <c r="H72" s="252" t="s">
        <v>296</v>
      </c>
    </row>
    <row r="73" spans="2:8" ht="48" customHeight="1" x14ac:dyDescent="0.25">
      <c r="B73" s="416" t="s">
        <v>283</v>
      </c>
      <c r="C73" s="417"/>
      <c r="D73" s="248" t="s">
        <v>403</v>
      </c>
      <c r="E73" s="249" t="s">
        <v>330</v>
      </c>
      <c r="F73" s="249" t="s">
        <v>404</v>
      </c>
      <c r="G73" s="250" t="s">
        <v>405</v>
      </c>
      <c r="H73" s="252" t="s">
        <v>296</v>
      </c>
    </row>
    <row r="74" spans="2:8" ht="48" customHeight="1" x14ac:dyDescent="0.35">
      <c r="B74" s="416" t="s">
        <v>283</v>
      </c>
      <c r="C74" s="417"/>
      <c r="D74" s="248" t="s">
        <v>406</v>
      </c>
      <c r="E74" s="249" t="s">
        <v>330</v>
      </c>
      <c r="F74" s="249" t="s">
        <v>407</v>
      </c>
      <c r="G74" s="250" t="s">
        <v>408</v>
      </c>
      <c r="H74" s="252" t="s">
        <v>296</v>
      </c>
    </row>
    <row r="75" spans="2:8" ht="48" customHeight="1" x14ac:dyDescent="0.35">
      <c r="B75" s="416" t="s">
        <v>283</v>
      </c>
      <c r="C75" s="417"/>
      <c r="D75" s="248" t="s">
        <v>409</v>
      </c>
      <c r="E75" s="249" t="s">
        <v>330</v>
      </c>
      <c r="F75" s="249" t="s">
        <v>410</v>
      </c>
      <c r="G75" s="250" t="s">
        <v>411</v>
      </c>
      <c r="H75" s="252" t="s">
        <v>296</v>
      </c>
    </row>
    <row r="76" spans="2:8" ht="48" customHeight="1" x14ac:dyDescent="0.35">
      <c r="B76" s="416" t="s">
        <v>283</v>
      </c>
      <c r="C76" s="417"/>
      <c r="D76" s="248" t="s">
        <v>412</v>
      </c>
      <c r="E76" s="249" t="s">
        <v>330</v>
      </c>
      <c r="F76" s="249" t="s">
        <v>413</v>
      </c>
      <c r="G76" s="250" t="s">
        <v>414</v>
      </c>
      <c r="H76" s="252" t="s">
        <v>296</v>
      </c>
    </row>
    <row r="77" spans="2:8" ht="48" customHeight="1" x14ac:dyDescent="0.35">
      <c r="B77" s="416" t="s">
        <v>283</v>
      </c>
      <c r="C77" s="417"/>
      <c r="D77" s="248" t="s">
        <v>415</v>
      </c>
      <c r="E77" s="249" t="s">
        <v>330</v>
      </c>
      <c r="F77" s="249" t="s">
        <v>416</v>
      </c>
      <c r="G77" s="250" t="s">
        <v>417</v>
      </c>
      <c r="H77" s="252" t="s">
        <v>296</v>
      </c>
    </row>
    <row r="78" spans="2:8" ht="48" customHeight="1" x14ac:dyDescent="0.25">
      <c r="B78" s="416" t="s">
        <v>283</v>
      </c>
      <c r="C78" s="417"/>
      <c r="D78" s="248" t="s">
        <v>418</v>
      </c>
      <c r="E78" s="249" t="s">
        <v>330</v>
      </c>
      <c r="F78" s="249" t="s">
        <v>419</v>
      </c>
      <c r="G78" s="250" t="s">
        <v>420</v>
      </c>
      <c r="H78" s="251" t="s">
        <v>356</v>
      </c>
    </row>
    <row r="79" spans="2:8" ht="48" customHeight="1" x14ac:dyDescent="0.25">
      <c r="B79" s="416" t="s">
        <v>283</v>
      </c>
      <c r="C79" s="417"/>
      <c r="D79" s="248" t="s">
        <v>421</v>
      </c>
      <c r="E79" s="249" t="s">
        <v>330</v>
      </c>
      <c r="F79" s="249" t="s">
        <v>422</v>
      </c>
      <c r="G79" s="250" t="s">
        <v>423</v>
      </c>
      <c r="H79" s="251" t="s">
        <v>356</v>
      </c>
    </row>
    <row r="80" spans="2:8" ht="48" customHeight="1" x14ac:dyDescent="0.25">
      <c r="B80" s="416" t="s">
        <v>283</v>
      </c>
      <c r="C80" s="417"/>
      <c r="D80" s="248" t="s">
        <v>424</v>
      </c>
      <c r="E80" s="249" t="s">
        <v>330</v>
      </c>
      <c r="F80" s="249" t="s">
        <v>425</v>
      </c>
      <c r="G80" s="250" t="s">
        <v>426</v>
      </c>
      <c r="H80" s="251" t="s">
        <v>356</v>
      </c>
    </row>
    <row r="81" spans="2:8" ht="48" customHeight="1" x14ac:dyDescent="0.25">
      <c r="B81" s="416" t="s">
        <v>283</v>
      </c>
      <c r="C81" s="417"/>
      <c r="D81" s="248" t="s">
        <v>427</v>
      </c>
      <c r="E81" s="249" t="s">
        <v>330</v>
      </c>
      <c r="F81" s="249" t="s">
        <v>428</v>
      </c>
      <c r="G81" s="250" t="s">
        <v>429</v>
      </c>
      <c r="H81" s="251" t="s">
        <v>356</v>
      </c>
    </row>
    <row r="82" spans="2:8" ht="48" customHeight="1" x14ac:dyDescent="0.25">
      <c r="B82" s="416" t="s">
        <v>283</v>
      </c>
      <c r="C82" s="417"/>
      <c r="D82" s="248" t="s">
        <v>430</v>
      </c>
      <c r="E82" s="249" t="s">
        <v>330</v>
      </c>
      <c r="F82" s="249" t="s">
        <v>431</v>
      </c>
      <c r="G82" s="250" t="s">
        <v>432</v>
      </c>
      <c r="H82" s="251" t="s">
        <v>356</v>
      </c>
    </row>
    <row r="83" spans="2:8" ht="48" customHeight="1" x14ac:dyDescent="0.25">
      <c r="B83" s="416" t="s">
        <v>283</v>
      </c>
      <c r="C83" s="417"/>
      <c r="D83" s="248" t="s">
        <v>433</v>
      </c>
      <c r="E83" s="249" t="s">
        <v>330</v>
      </c>
      <c r="F83" s="249" t="s">
        <v>434</v>
      </c>
      <c r="G83" s="250" t="s">
        <v>435</v>
      </c>
      <c r="H83" s="251" t="s">
        <v>356</v>
      </c>
    </row>
    <row r="84" spans="2:8" ht="48" customHeight="1" x14ac:dyDescent="0.25">
      <c r="B84" s="416" t="s">
        <v>283</v>
      </c>
      <c r="C84" s="417"/>
      <c r="D84" s="248" t="s">
        <v>436</v>
      </c>
      <c r="E84" s="249" t="s">
        <v>330</v>
      </c>
      <c r="F84" s="249" t="s">
        <v>437</v>
      </c>
      <c r="G84" s="250" t="s">
        <v>438</v>
      </c>
      <c r="H84" s="251" t="s">
        <v>356</v>
      </c>
    </row>
    <row r="85" spans="2:8" ht="48" customHeight="1" x14ac:dyDescent="0.25">
      <c r="B85" s="416" t="s">
        <v>283</v>
      </c>
      <c r="C85" s="417"/>
      <c r="D85" s="248" t="s">
        <v>439</v>
      </c>
      <c r="E85" s="249" t="s">
        <v>330</v>
      </c>
      <c r="F85" s="249" t="s">
        <v>440</v>
      </c>
      <c r="G85" s="250" t="s">
        <v>441</v>
      </c>
      <c r="H85" s="252" t="s">
        <v>296</v>
      </c>
    </row>
    <row r="86" spans="2:8" ht="48" customHeight="1" x14ac:dyDescent="0.25">
      <c r="B86" s="416" t="s">
        <v>283</v>
      </c>
      <c r="C86" s="417"/>
      <c r="D86" s="248" t="s">
        <v>442</v>
      </c>
      <c r="E86" s="249" t="s">
        <v>330</v>
      </c>
      <c r="F86" s="249" t="s">
        <v>443</v>
      </c>
      <c r="G86" s="250" t="s">
        <v>444</v>
      </c>
      <c r="H86" s="252" t="s">
        <v>296</v>
      </c>
    </row>
    <row r="87" spans="2:8" ht="48" customHeight="1" x14ac:dyDescent="0.25">
      <c r="B87" s="416" t="s">
        <v>283</v>
      </c>
      <c r="C87" s="417"/>
      <c r="D87" s="248" t="s">
        <v>445</v>
      </c>
      <c r="E87" s="249" t="s">
        <v>330</v>
      </c>
      <c r="F87" s="249" t="s">
        <v>446</v>
      </c>
      <c r="G87" s="250" t="s">
        <v>447</v>
      </c>
      <c r="H87" s="252" t="s">
        <v>296</v>
      </c>
    </row>
    <row r="88" spans="2:8" ht="48" customHeight="1" x14ac:dyDescent="0.25">
      <c r="B88" s="416" t="s">
        <v>283</v>
      </c>
      <c r="C88" s="417"/>
      <c r="D88" s="248" t="s">
        <v>448</v>
      </c>
      <c r="E88" s="249" t="s">
        <v>330</v>
      </c>
      <c r="F88" s="249" t="s">
        <v>449</v>
      </c>
      <c r="G88" s="250" t="s">
        <v>450</v>
      </c>
      <c r="H88" s="252" t="s">
        <v>296</v>
      </c>
    </row>
    <row r="89" spans="2:8" ht="48" customHeight="1" x14ac:dyDescent="0.25">
      <c r="B89" s="416" t="s">
        <v>283</v>
      </c>
      <c r="C89" s="417"/>
      <c r="D89" s="248" t="s">
        <v>451</v>
      </c>
      <c r="E89" s="249" t="s">
        <v>330</v>
      </c>
      <c r="F89" s="249" t="s">
        <v>452</v>
      </c>
      <c r="G89" s="250" t="s">
        <v>453</v>
      </c>
      <c r="H89" s="252" t="s">
        <v>296</v>
      </c>
    </row>
    <row r="90" spans="2:8" ht="48" customHeight="1" x14ac:dyDescent="0.25">
      <c r="B90" s="416" t="s">
        <v>283</v>
      </c>
      <c r="C90" s="417"/>
      <c r="D90" s="248" t="s">
        <v>454</v>
      </c>
      <c r="E90" s="249" t="s">
        <v>330</v>
      </c>
      <c r="F90" s="249" t="s">
        <v>455</v>
      </c>
      <c r="G90" s="250" t="s">
        <v>456</v>
      </c>
      <c r="H90" s="252" t="s">
        <v>296</v>
      </c>
    </row>
    <row r="91" spans="2:8" ht="48" customHeight="1" x14ac:dyDescent="0.25">
      <c r="B91" s="416" t="s">
        <v>283</v>
      </c>
      <c r="C91" s="417"/>
      <c r="D91" s="248" t="s">
        <v>457</v>
      </c>
      <c r="E91" s="249" t="s">
        <v>330</v>
      </c>
      <c r="F91" s="249" t="s">
        <v>458</v>
      </c>
      <c r="G91" s="250" t="s">
        <v>459</v>
      </c>
      <c r="H91" s="252" t="s">
        <v>296</v>
      </c>
    </row>
    <row r="92" spans="2:8" ht="48" customHeight="1" x14ac:dyDescent="0.25">
      <c r="B92" s="416" t="s">
        <v>460</v>
      </c>
      <c r="C92" s="417"/>
      <c r="D92" s="248" t="s">
        <v>461</v>
      </c>
      <c r="E92" s="249" t="s">
        <v>294</v>
      </c>
      <c r="F92" s="249" t="s">
        <v>462</v>
      </c>
      <c r="G92" s="250" t="s">
        <v>463</v>
      </c>
      <c r="H92" s="252" t="s">
        <v>296</v>
      </c>
    </row>
    <row r="93" spans="2:8" ht="48" customHeight="1" x14ac:dyDescent="0.25">
      <c r="B93" s="416" t="s">
        <v>460</v>
      </c>
      <c r="C93" s="417"/>
      <c r="D93" s="248" t="s">
        <v>3017</v>
      </c>
      <c r="E93" s="249" t="s">
        <v>294</v>
      </c>
      <c r="F93" s="249" t="s">
        <v>290</v>
      </c>
      <c r="G93" s="250" t="s">
        <v>464</v>
      </c>
      <c r="H93" s="252" t="s">
        <v>296</v>
      </c>
    </row>
    <row r="94" spans="2:8" ht="48" customHeight="1" x14ac:dyDescent="0.25">
      <c r="B94" s="416" t="s">
        <v>460</v>
      </c>
      <c r="C94" s="417"/>
      <c r="D94" s="248" t="s">
        <v>3018</v>
      </c>
      <c r="E94" s="249" t="s">
        <v>294</v>
      </c>
      <c r="F94" s="249" t="s">
        <v>462</v>
      </c>
      <c r="G94" s="250" t="s">
        <v>465</v>
      </c>
      <c r="H94" s="252" t="s">
        <v>296</v>
      </c>
    </row>
    <row r="95" spans="2:8" ht="48" customHeight="1" thickBot="1" x14ac:dyDescent="0.3">
      <c r="B95" s="418" t="s">
        <v>460</v>
      </c>
      <c r="C95" s="419"/>
      <c r="D95" s="253" t="s">
        <v>3019</v>
      </c>
      <c r="E95" s="254" t="s">
        <v>294</v>
      </c>
      <c r="F95" s="254" t="s">
        <v>384</v>
      </c>
      <c r="G95" s="255" t="s">
        <v>466</v>
      </c>
      <c r="H95" s="256" t="s">
        <v>296</v>
      </c>
    </row>
  </sheetData>
  <sheetProtection autoFilter="0"/>
  <autoFilter ref="B14:H95">
    <filterColumn colId="0" showButton="0"/>
  </autoFilter>
  <mergeCells count="84">
    <mergeCell ref="B52:C52"/>
    <mergeCell ref="B17:C17"/>
    <mergeCell ref="B5:H6"/>
    <mergeCell ref="E8:H11"/>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8:C38"/>
    <mergeCell ref="B30:C30"/>
    <mergeCell ref="B31:C31"/>
    <mergeCell ref="B33:C33"/>
    <mergeCell ref="B32:C32"/>
    <mergeCell ref="B34:C34"/>
    <mergeCell ref="B35:C35"/>
    <mergeCell ref="B36:C36"/>
    <mergeCell ref="B37:C37"/>
    <mergeCell ref="B51:C51"/>
    <mergeCell ref="B40:C40"/>
    <mergeCell ref="B41:C41"/>
    <mergeCell ref="B42:C42"/>
    <mergeCell ref="B43:C43"/>
    <mergeCell ref="B44:C44"/>
    <mergeCell ref="B45:C45"/>
    <mergeCell ref="B46:C46"/>
    <mergeCell ref="B47:C47"/>
    <mergeCell ref="B48:C48"/>
    <mergeCell ref="B49:C49"/>
    <mergeCell ref="B50:C50"/>
    <mergeCell ref="B75:C75"/>
    <mergeCell ref="B64:C64"/>
    <mergeCell ref="B53:C53"/>
    <mergeCell ref="B54:C54"/>
    <mergeCell ref="B55:C55"/>
    <mergeCell ref="B56:C56"/>
    <mergeCell ref="B57:C57"/>
    <mergeCell ref="B58:C58"/>
    <mergeCell ref="B59:C59"/>
    <mergeCell ref="B60:C60"/>
    <mergeCell ref="B61:C61"/>
    <mergeCell ref="B62:C62"/>
    <mergeCell ref="B63:C63"/>
    <mergeCell ref="B70:C70"/>
    <mergeCell ref="B71:C71"/>
    <mergeCell ref="B72:C72"/>
    <mergeCell ref="B73:C73"/>
    <mergeCell ref="B74:C74"/>
    <mergeCell ref="B65:C65"/>
    <mergeCell ref="B66:C66"/>
    <mergeCell ref="B67:C67"/>
    <mergeCell ref="B68:C68"/>
    <mergeCell ref="B69:C69"/>
    <mergeCell ref="B84:C84"/>
    <mergeCell ref="B85:C85"/>
    <mergeCell ref="B86:C86"/>
    <mergeCell ref="B87:C87"/>
    <mergeCell ref="B76:C76"/>
    <mergeCell ref="B39:C39"/>
    <mergeCell ref="B95:C95"/>
    <mergeCell ref="B89:C89"/>
    <mergeCell ref="B90:C90"/>
    <mergeCell ref="B91:C91"/>
    <mergeCell ref="B92:C92"/>
    <mergeCell ref="B93:C93"/>
    <mergeCell ref="B94:C94"/>
    <mergeCell ref="B88:C88"/>
    <mergeCell ref="B77:C77"/>
    <mergeCell ref="B78:C78"/>
    <mergeCell ref="B79:C79"/>
    <mergeCell ref="B80:C80"/>
    <mergeCell ref="B81:C81"/>
    <mergeCell ref="B82:C82"/>
    <mergeCell ref="B83:C83"/>
  </mergeCells>
  <conditionalFormatting sqref="B15:H95">
    <cfRule type="expression" dxfId="45" priority="1">
      <formula>$E15="Calculated Value"</formula>
    </cfRule>
    <cfRule type="expression" dxfId="44" priority="2">
      <formula>$E15="Input Field"</formula>
    </cfRule>
  </conditionalFormatting>
  <dataValidations count="3">
    <dataValidation allowBlank="1" showDropDown="1" showInputMessage="1" showErrorMessage="1" sqref="C10:C11"/>
    <dataValidation type="list" allowBlank="1" showInputMessage="1" showErrorMessage="1" sqref="C8">
      <formula1>"General Information, Lighting Inventory"</formula1>
    </dataValidation>
    <dataValidation type="list" allowBlank="1" showInputMessage="1" showErrorMessage="1" sqref="E15:E95">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F93"/>
  <sheetViews>
    <sheetView showGridLines="0" tabSelected="1" zoomScale="90" zoomScaleNormal="90" workbookViewId="0">
      <pane ySplit="3" topLeftCell="A4" activePane="bottomLeft" state="frozen"/>
      <selection pane="bottomLeft"/>
    </sheetView>
  </sheetViews>
  <sheetFormatPr defaultColWidth="9.140625" defaultRowHeight="15" x14ac:dyDescent="0.25"/>
  <cols>
    <col min="1" max="1" width="3.7109375" style="103" customWidth="1"/>
    <col min="2" max="2" width="3.7109375" style="104" customWidth="1"/>
    <col min="3" max="3" width="25.7109375" style="103" customWidth="1"/>
    <col min="4" max="10" width="6.7109375" style="103" customWidth="1"/>
    <col min="11" max="11" width="3.7109375" style="103" customWidth="1"/>
    <col min="12" max="12" width="5.7109375" style="103" customWidth="1"/>
    <col min="13" max="13" width="1.7109375" style="103" customWidth="1"/>
    <col min="14" max="14" width="20.7109375" style="103" customWidth="1"/>
    <col min="15" max="22" width="6.7109375" style="103" customWidth="1"/>
    <col min="23" max="26" width="3.7109375" style="103" customWidth="1"/>
    <col min="27" max="31" width="6.7109375" style="103" customWidth="1"/>
    <col min="32" max="33" width="9.7109375" style="103" customWidth="1"/>
    <col min="34" max="35" width="3.7109375" style="103" customWidth="1"/>
    <col min="36" max="36" width="12.7109375" style="103" customWidth="1"/>
    <col min="37" max="41" width="6.7109375" style="103" customWidth="1"/>
    <col min="42" max="44" width="8.7109375" style="103" customWidth="1"/>
    <col min="45" max="45" width="9.140625" style="103"/>
    <col min="46" max="46" width="1.7109375" style="103" customWidth="1"/>
    <col min="47" max="52" width="6.7109375" style="103" customWidth="1"/>
    <col min="53" max="54" width="9.7109375" style="103" customWidth="1"/>
    <col min="55" max="55" width="2.7109375" style="103" customWidth="1"/>
    <col min="56" max="57" width="13.7109375" style="103" customWidth="1"/>
    <col min="58" max="58" width="1.7109375" style="103" customWidth="1"/>
    <col min="59" max="16384" width="9.140625" style="103"/>
  </cols>
  <sheetData>
    <row r="1" spans="1:58" ht="15" customHeight="1" x14ac:dyDescent="0.25"/>
    <row r="2" spans="1:58" s="84" customFormat="1" ht="22.5" x14ac:dyDescent="0.35">
      <c r="A2" s="16"/>
      <c r="B2" s="3" t="s">
        <v>0</v>
      </c>
      <c r="C2" s="17"/>
      <c r="D2" s="17"/>
      <c r="E2" s="17"/>
      <c r="F2" s="17"/>
      <c r="G2" s="17"/>
      <c r="H2" s="17"/>
      <c r="I2" s="17"/>
      <c r="J2" s="17"/>
      <c r="K2" s="17"/>
      <c r="L2" s="17"/>
      <c r="M2" s="16"/>
      <c r="N2" s="16"/>
      <c r="AT2" s="17"/>
      <c r="AU2" s="17"/>
      <c r="AV2" s="17"/>
      <c r="AW2" s="17"/>
      <c r="AX2" s="17"/>
      <c r="AY2" s="17"/>
      <c r="AZ2" s="17"/>
      <c r="BA2" s="17"/>
      <c r="BB2" s="17"/>
      <c r="BC2" s="17"/>
      <c r="BD2" s="17"/>
      <c r="BE2" s="17"/>
      <c r="BF2" s="17"/>
    </row>
    <row r="3" spans="1:58" s="85" customFormat="1" ht="17.25" x14ac:dyDescent="0.25">
      <c r="A3" s="5"/>
      <c r="B3" s="7" t="s">
        <v>467</v>
      </c>
      <c r="C3" s="6"/>
      <c r="D3" s="6"/>
      <c r="E3" s="6"/>
      <c r="F3" s="6"/>
      <c r="G3" s="6"/>
      <c r="H3" s="6"/>
      <c r="I3" s="6"/>
      <c r="J3" s="6"/>
      <c r="K3" s="6"/>
      <c r="L3" s="6"/>
      <c r="M3" s="5"/>
      <c r="N3" s="5"/>
      <c r="AT3" s="6"/>
      <c r="AU3" s="6"/>
      <c r="AV3" s="6"/>
      <c r="AW3" s="6"/>
      <c r="AX3" s="6"/>
      <c r="AY3" s="6"/>
      <c r="AZ3" s="6"/>
      <c r="BA3" s="6"/>
      <c r="BB3" s="6"/>
      <c r="BC3" s="6"/>
      <c r="BD3" s="6"/>
      <c r="BE3" s="6"/>
      <c r="BF3" s="6"/>
    </row>
    <row r="4" spans="1:58" ht="9.75" customHeight="1" thickBot="1" x14ac:dyDescent="0.3"/>
    <row r="5" spans="1:58" ht="15" customHeight="1" x14ac:dyDescent="0.25">
      <c r="B5" s="111"/>
      <c r="C5" s="491" t="s">
        <v>468</v>
      </c>
      <c r="D5" s="493" t="s">
        <v>294</v>
      </c>
      <c r="E5" s="493"/>
      <c r="F5" s="493"/>
      <c r="G5" s="112"/>
      <c r="H5" s="494" t="s">
        <v>469</v>
      </c>
      <c r="I5" s="494"/>
      <c r="J5" s="494"/>
      <c r="K5" s="113"/>
      <c r="L5" s="113"/>
      <c r="M5" s="495" t="s">
        <v>470</v>
      </c>
      <c r="N5" s="495"/>
      <c r="O5" s="495"/>
      <c r="P5" s="114"/>
      <c r="Q5" s="115"/>
      <c r="R5" s="115"/>
      <c r="S5" s="115"/>
      <c r="T5" s="115"/>
      <c r="U5" s="115"/>
      <c r="V5" s="115"/>
      <c r="W5" s="115"/>
      <c r="X5" s="115"/>
      <c r="Y5" s="115"/>
      <c r="Z5" s="115"/>
      <c r="AA5" s="116"/>
      <c r="AB5" s="116"/>
      <c r="AC5" s="116"/>
      <c r="AD5" s="116"/>
      <c r="AE5" s="116"/>
      <c r="AF5" s="116"/>
      <c r="AG5" s="116"/>
      <c r="AH5" s="117"/>
      <c r="AI5" s="104"/>
      <c r="AJ5" s="104"/>
      <c r="AK5" s="104"/>
      <c r="AL5" s="104"/>
      <c r="AM5" s="104"/>
      <c r="AN5" s="104"/>
      <c r="AO5" s="104"/>
      <c r="AP5" s="104"/>
      <c r="AQ5" s="104"/>
      <c r="AR5" s="104"/>
    </row>
    <row r="6" spans="1:58" ht="15.75" customHeight="1" thickBot="1" x14ac:dyDescent="0.3">
      <c r="B6" s="118"/>
      <c r="C6" s="492"/>
      <c r="D6" s="497" t="s">
        <v>330</v>
      </c>
      <c r="E6" s="497"/>
      <c r="F6" s="497"/>
      <c r="G6" s="119"/>
      <c r="H6" s="498" t="s">
        <v>471</v>
      </c>
      <c r="I6" s="498"/>
      <c r="J6" s="498"/>
      <c r="K6" s="120"/>
      <c r="L6" s="120"/>
      <c r="M6" s="496"/>
      <c r="N6" s="496"/>
      <c r="O6" s="496"/>
      <c r="P6" s="121"/>
      <c r="Q6" s="122"/>
      <c r="R6" s="122"/>
      <c r="S6" s="122"/>
      <c r="T6" s="122"/>
      <c r="U6" s="122"/>
      <c r="V6" s="122"/>
      <c r="W6" s="122"/>
      <c r="X6" s="122"/>
      <c r="Y6" s="122"/>
      <c r="Z6" s="122"/>
      <c r="AA6" s="123"/>
      <c r="AB6" s="123"/>
      <c r="AC6" s="123"/>
      <c r="AD6" s="123"/>
      <c r="AE6" s="123"/>
      <c r="AF6" s="123"/>
      <c r="AG6" s="123"/>
      <c r="AH6" s="124"/>
      <c r="AI6" s="104"/>
      <c r="AJ6" s="104"/>
      <c r="AK6" s="104"/>
      <c r="AL6" s="104"/>
      <c r="AM6" s="104"/>
      <c r="AN6" s="104"/>
      <c r="AO6" s="104"/>
      <c r="AP6" s="104"/>
      <c r="AQ6" s="104"/>
      <c r="AR6" s="104"/>
    </row>
    <row r="7" spans="1:58" ht="15" customHeight="1" thickBot="1" x14ac:dyDescent="0.3"/>
    <row r="8" spans="1:58" ht="15" customHeight="1" x14ac:dyDescent="0.25">
      <c r="B8" s="465" t="s">
        <v>2879</v>
      </c>
      <c r="C8" s="466"/>
      <c r="D8" s="466"/>
      <c r="E8" s="466"/>
      <c r="F8" s="466"/>
      <c r="G8" s="466"/>
      <c r="H8" s="466"/>
      <c r="I8" s="466"/>
      <c r="J8" s="466"/>
      <c r="K8" s="467"/>
      <c r="M8" s="465" t="str">
        <f>IF(I26="Custom","❷ Custom Lighting Operation Schedules","Lighting Operation Schedule")</f>
        <v>Lighting Operation Schedule</v>
      </c>
      <c r="N8" s="466"/>
      <c r="O8" s="466"/>
      <c r="P8" s="466"/>
      <c r="Q8" s="466"/>
      <c r="R8" s="466"/>
      <c r="S8" s="466"/>
      <c r="T8" s="466"/>
      <c r="U8" s="466"/>
      <c r="V8" s="466"/>
      <c r="W8" s="466"/>
      <c r="X8" s="466"/>
      <c r="Y8" s="466"/>
      <c r="Z8" s="466"/>
      <c r="AA8" s="466"/>
      <c r="AB8" s="466"/>
      <c r="AC8" s="466"/>
      <c r="AD8" s="466"/>
      <c r="AE8" s="466"/>
      <c r="AF8" s="466"/>
      <c r="AG8" s="466"/>
      <c r="AH8" s="467"/>
      <c r="AI8" s="105"/>
      <c r="AP8" s="105"/>
      <c r="AQ8" s="105"/>
      <c r="AR8" s="105"/>
    </row>
    <row r="9" spans="1:58" ht="15" customHeight="1" thickBot="1" x14ac:dyDescent="0.3">
      <c r="B9" s="468"/>
      <c r="C9" s="469"/>
      <c r="D9" s="469"/>
      <c r="E9" s="469"/>
      <c r="F9" s="469"/>
      <c r="G9" s="469"/>
      <c r="H9" s="469"/>
      <c r="I9" s="469"/>
      <c r="J9" s="469"/>
      <c r="K9" s="470"/>
      <c r="M9" s="468"/>
      <c r="N9" s="469"/>
      <c r="O9" s="469"/>
      <c r="P9" s="469"/>
      <c r="Q9" s="469"/>
      <c r="R9" s="469"/>
      <c r="S9" s="469"/>
      <c r="T9" s="469"/>
      <c r="U9" s="469"/>
      <c r="V9" s="469"/>
      <c r="W9" s="469"/>
      <c r="X9" s="469"/>
      <c r="Y9" s="469"/>
      <c r="Z9" s="469"/>
      <c r="AA9" s="469"/>
      <c r="AB9" s="469"/>
      <c r="AC9" s="469"/>
      <c r="AD9" s="469"/>
      <c r="AE9" s="469"/>
      <c r="AF9" s="469"/>
      <c r="AG9" s="469"/>
      <c r="AH9" s="470"/>
      <c r="AI9" s="105"/>
      <c r="AP9" s="105"/>
      <c r="AQ9" s="105"/>
      <c r="AR9" s="105"/>
    </row>
    <row r="10" spans="1:58" ht="15" customHeight="1" x14ac:dyDescent="0.3">
      <c r="B10" s="125"/>
      <c r="C10" s="89"/>
      <c r="D10" s="89"/>
      <c r="E10" s="89"/>
      <c r="F10" s="89"/>
      <c r="G10" s="89"/>
      <c r="H10" s="89"/>
      <c r="I10" s="89"/>
      <c r="J10" s="89"/>
      <c r="K10" s="126"/>
      <c r="M10" s="135"/>
      <c r="N10" s="88"/>
      <c r="O10" s="88"/>
      <c r="P10" s="88"/>
      <c r="Q10" s="88"/>
      <c r="R10" s="88"/>
      <c r="S10" s="88"/>
      <c r="T10" s="88"/>
      <c r="U10" s="88"/>
      <c r="V10" s="88"/>
      <c r="W10" s="88"/>
      <c r="X10" s="89"/>
      <c r="Y10" s="89"/>
      <c r="Z10" s="89"/>
      <c r="AA10" s="89"/>
      <c r="AB10" s="89"/>
      <c r="AC10" s="89"/>
      <c r="AD10" s="89"/>
      <c r="AE10" s="89"/>
      <c r="AF10" s="89"/>
      <c r="AG10" s="89"/>
      <c r="AH10" s="126"/>
      <c r="AI10" s="106"/>
      <c r="AP10" s="106"/>
      <c r="AQ10" s="106"/>
      <c r="AR10" s="106"/>
    </row>
    <row r="11" spans="1:58" ht="15" customHeight="1" x14ac:dyDescent="0.3">
      <c r="B11" s="125"/>
      <c r="C11" s="501" t="s">
        <v>473</v>
      </c>
      <c r="D11" s="501"/>
      <c r="E11" s="501"/>
      <c r="F11" s="501"/>
      <c r="G11" s="501"/>
      <c r="H11" s="501"/>
      <c r="I11" s="501"/>
      <c r="J11" s="501"/>
      <c r="K11" s="126"/>
      <c r="M11" s="135"/>
      <c r="N11" s="471" t="s">
        <v>498</v>
      </c>
      <c r="O11" s="471"/>
      <c r="P11" s="471"/>
      <c r="Q11" s="471"/>
      <c r="R11" s="471"/>
      <c r="S11" s="471"/>
      <c r="T11" s="471"/>
      <c r="U11" s="471"/>
      <c r="V11" s="471"/>
      <c r="W11" s="471"/>
      <c r="X11" s="471"/>
      <c r="Y11" s="471"/>
      <c r="Z11" s="471"/>
      <c r="AA11" s="471"/>
      <c r="AB11" s="471"/>
      <c r="AC11" s="471"/>
      <c r="AD11" s="471"/>
      <c r="AE11" s="471"/>
      <c r="AF11" s="471"/>
      <c r="AG11" s="471"/>
      <c r="AH11" s="126"/>
      <c r="AI11" s="106"/>
      <c r="AP11" s="106"/>
      <c r="AQ11" s="106"/>
      <c r="AR11" s="106"/>
    </row>
    <row r="12" spans="1:58" ht="15" customHeight="1" x14ac:dyDescent="0.3">
      <c r="B12" s="125"/>
      <c r="C12" s="127"/>
      <c r="D12" s="127"/>
      <c r="E12" s="127"/>
      <c r="F12" s="127"/>
      <c r="G12" s="127"/>
      <c r="H12" s="127"/>
      <c r="I12" s="127"/>
      <c r="J12" s="127"/>
      <c r="K12" s="126"/>
      <c r="M12" s="135"/>
      <c r="N12" s="471"/>
      <c r="O12" s="471"/>
      <c r="P12" s="471"/>
      <c r="Q12" s="471"/>
      <c r="R12" s="471"/>
      <c r="S12" s="471"/>
      <c r="T12" s="471"/>
      <c r="U12" s="471"/>
      <c r="V12" s="471"/>
      <c r="W12" s="471"/>
      <c r="X12" s="471"/>
      <c r="Y12" s="471"/>
      <c r="Z12" s="471"/>
      <c r="AA12" s="471"/>
      <c r="AB12" s="471"/>
      <c r="AC12" s="471"/>
      <c r="AD12" s="471"/>
      <c r="AE12" s="471"/>
      <c r="AF12" s="471"/>
      <c r="AG12" s="471"/>
      <c r="AH12" s="126"/>
      <c r="AI12" s="106"/>
      <c r="AP12" s="106"/>
      <c r="AQ12" s="106"/>
      <c r="AR12" s="106"/>
    </row>
    <row r="13" spans="1:58" ht="15" customHeight="1" x14ac:dyDescent="0.3">
      <c r="B13" s="125"/>
      <c r="C13" s="132" t="s">
        <v>474</v>
      </c>
      <c r="D13" s="499"/>
      <c r="E13" s="499"/>
      <c r="F13" s="499"/>
      <c r="G13" s="499"/>
      <c r="H13" s="499"/>
      <c r="I13" s="499"/>
      <c r="J13" s="499"/>
      <c r="K13" s="126"/>
      <c r="M13" s="135"/>
      <c r="N13" s="471"/>
      <c r="O13" s="471"/>
      <c r="P13" s="471"/>
      <c r="Q13" s="471"/>
      <c r="R13" s="471"/>
      <c r="S13" s="471"/>
      <c r="T13" s="471"/>
      <c r="U13" s="471"/>
      <c r="V13" s="471"/>
      <c r="W13" s="471"/>
      <c r="X13" s="471"/>
      <c r="Y13" s="471"/>
      <c r="Z13" s="471"/>
      <c r="AA13" s="471"/>
      <c r="AB13" s="471"/>
      <c r="AC13" s="471"/>
      <c r="AD13" s="471"/>
      <c r="AE13" s="471"/>
      <c r="AF13" s="471"/>
      <c r="AG13" s="471"/>
      <c r="AH13" s="126"/>
      <c r="AI13" s="106"/>
      <c r="AP13" s="106"/>
      <c r="AQ13" s="106"/>
      <c r="AR13" s="106"/>
    </row>
    <row r="14" spans="1:58" ht="15" customHeight="1" thickBot="1" x14ac:dyDescent="0.35">
      <c r="B14" s="125"/>
      <c r="C14" s="132" t="s">
        <v>475</v>
      </c>
      <c r="D14" s="500"/>
      <c r="E14" s="500"/>
      <c r="F14" s="500"/>
      <c r="G14" s="500"/>
      <c r="H14" s="500"/>
      <c r="I14" s="500"/>
      <c r="J14" s="500"/>
      <c r="K14" s="126"/>
      <c r="M14" s="135"/>
      <c r="N14" s="88"/>
      <c r="O14" s="136"/>
      <c r="P14" s="136"/>
      <c r="Q14" s="136"/>
      <c r="R14" s="136"/>
      <c r="S14" s="136"/>
      <c r="T14" s="136"/>
      <c r="U14" s="136"/>
      <c r="V14" s="136"/>
      <c r="W14" s="136"/>
      <c r="X14" s="136"/>
      <c r="Y14" s="136"/>
      <c r="Z14" s="136"/>
      <c r="AA14" s="136"/>
      <c r="AB14" s="136"/>
      <c r="AC14" s="136"/>
      <c r="AD14" s="136"/>
      <c r="AE14" s="136"/>
      <c r="AF14" s="136"/>
      <c r="AG14" s="136"/>
      <c r="AH14" s="126"/>
      <c r="AI14" s="106"/>
      <c r="AP14" s="106"/>
      <c r="AQ14" s="106"/>
      <c r="AR14" s="106"/>
    </row>
    <row r="15" spans="1:58" ht="15" customHeight="1" x14ac:dyDescent="0.3">
      <c r="B15" s="125"/>
      <c r="C15" s="132"/>
      <c r="D15" s="128"/>
      <c r="E15" s="128"/>
      <c r="F15" s="128"/>
      <c r="G15" s="128"/>
      <c r="H15" s="128"/>
      <c r="I15" s="128"/>
      <c r="J15" s="128"/>
      <c r="K15" s="126"/>
      <c r="M15" s="135"/>
      <c r="N15" s="88"/>
      <c r="O15" s="137" t="s">
        <v>105</v>
      </c>
      <c r="P15" s="514" t="s">
        <v>484</v>
      </c>
      <c r="Q15" s="515"/>
      <c r="R15" s="508" t="s">
        <v>499</v>
      </c>
      <c r="S15" s="509"/>
      <c r="T15" s="508" t="s">
        <v>499</v>
      </c>
      <c r="U15" s="509"/>
      <c r="V15" s="510" t="s">
        <v>499</v>
      </c>
      <c r="W15" s="511"/>
      <c r="X15" s="512"/>
      <c r="Y15" s="504" t="s">
        <v>499</v>
      </c>
      <c r="Z15" s="513"/>
      <c r="AA15" s="505"/>
      <c r="AB15" s="502" t="s">
        <v>499</v>
      </c>
      <c r="AC15" s="503"/>
      <c r="AD15" s="504" t="s">
        <v>499</v>
      </c>
      <c r="AE15" s="505"/>
      <c r="AF15" s="506" t="s">
        <v>488</v>
      </c>
      <c r="AG15" s="507"/>
      <c r="AH15" s="130"/>
      <c r="AI15" s="104"/>
      <c r="AP15" s="104"/>
      <c r="AQ15" s="104"/>
      <c r="AR15" s="104"/>
    </row>
    <row r="16" spans="1:58" ht="15" customHeight="1" x14ac:dyDescent="0.25">
      <c r="B16" s="129"/>
      <c r="C16" s="132" t="s">
        <v>478</v>
      </c>
      <c r="D16" s="499"/>
      <c r="E16" s="499"/>
      <c r="F16" s="499"/>
      <c r="G16" s="499"/>
      <c r="H16" s="499"/>
      <c r="I16" s="499"/>
      <c r="J16" s="499"/>
      <c r="K16" s="130"/>
      <c r="M16" s="135"/>
      <c r="N16" s="88"/>
      <c r="O16" s="137"/>
      <c r="P16" s="19" t="s">
        <v>106</v>
      </c>
      <c r="Q16" s="93" t="s">
        <v>108</v>
      </c>
      <c r="R16" s="138" t="s">
        <v>106</v>
      </c>
      <c r="S16" s="141" t="s">
        <v>108</v>
      </c>
      <c r="T16" s="138" t="s">
        <v>106</v>
      </c>
      <c r="U16" s="141" t="s">
        <v>108</v>
      </c>
      <c r="V16" s="138" t="s">
        <v>106</v>
      </c>
      <c r="W16" s="472" t="s">
        <v>108</v>
      </c>
      <c r="X16" s="473"/>
      <c r="Y16" s="476" t="s">
        <v>106</v>
      </c>
      <c r="Z16" s="477"/>
      <c r="AA16" s="141" t="s">
        <v>108</v>
      </c>
      <c r="AB16" s="139" t="s">
        <v>106</v>
      </c>
      <c r="AC16" s="140" t="s">
        <v>108</v>
      </c>
      <c r="AD16" s="138" t="s">
        <v>106</v>
      </c>
      <c r="AE16" s="141" t="s">
        <v>108</v>
      </c>
      <c r="AF16" s="138" t="s">
        <v>500</v>
      </c>
      <c r="AG16" s="141" t="s">
        <v>501</v>
      </c>
      <c r="AH16" s="130"/>
      <c r="AI16" s="104"/>
      <c r="AP16" s="104"/>
      <c r="AQ16" s="104"/>
      <c r="AR16" s="104"/>
    </row>
    <row r="17" spans="1:47" ht="15" customHeight="1" x14ac:dyDescent="0.25">
      <c r="B17" s="129"/>
      <c r="C17" s="132" t="s">
        <v>479</v>
      </c>
      <c r="D17" s="500"/>
      <c r="E17" s="500"/>
      <c r="F17" s="500"/>
      <c r="G17" s="131" t="s">
        <v>480</v>
      </c>
      <c r="H17" s="165"/>
      <c r="I17" s="131" t="s">
        <v>481</v>
      </c>
      <c r="J17" s="166"/>
      <c r="K17" s="130"/>
      <c r="M17" s="135"/>
      <c r="N17" s="88"/>
      <c r="O17" s="142" t="s">
        <v>502</v>
      </c>
      <c r="P17" s="20">
        <v>8</v>
      </c>
      <c r="Q17" s="92">
        <v>17</v>
      </c>
      <c r="R17" s="161"/>
      <c r="S17" s="162"/>
      <c r="T17" s="161"/>
      <c r="U17" s="162"/>
      <c r="V17" s="161"/>
      <c r="W17" s="474"/>
      <c r="X17" s="475"/>
      <c r="Y17" s="478"/>
      <c r="Z17" s="479"/>
      <c r="AA17" s="162"/>
      <c r="AB17" s="161"/>
      <c r="AC17" s="162"/>
      <c r="AD17" s="161"/>
      <c r="AE17" s="162"/>
      <c r="AF17" s="397"/>
      <c r="AG17" s="398"/>
      <c r="AH17" s="130"/>
      <c r="AI17" s="104"/>
      <c r="AP17" s="104"/>
      <c r="AQ17" s="104"/>
      <c r="AR17" s="104"/>
    </row>
    <row r="18" spans="1:47" ht="15" customHeight="1" x14ac:dyDescent="0.25">
      <c r="B18" s="129"/>
      <c r="C18" s="132" t="s">
        <v>486</v>
      </c>
      <c r="D18" s="500"/>
      <c r="E18" s="500"/>
      <c r="F18" s="529" t="s">
        <v>487</v>
      </c>
      <c r="G18" s="530"/>
      <c r="H18" s="519"/>
      <c r="I18" s="519"/>
      <c r="J18" s="519"/>
      <c r="K18" s="130"/>
      <c r="M18" s="135"/>
      <c r="N18" s="88"/>
      <c r="O18" s="143" t="s">
        <v>503</v>
      </c>
      <c r="P18" s="20">
        <v>8</v>
      </c>
      <c r="Q18" s="92">
        <v>17</v>
      </c>
      <c r="R18" s="161"/>
      <c r="S18" s="162"/>
      <c r="T18" s="161"/>
      <c r="U18" s="162"/>
      <c r="V18" s="161"/>
      <c r="W18" s="474"/>
      <c r="X18" s="475"/>
      <c r="Y18" s="478"/>
      <c r="Z18" s="479"/>
      <c r="AA18" s="162"/>
      <c r="AB18" s="161"/>
      <c r="AC18" s="162"/>
      <c r="AD18" s="161"/>
      <c r="AE18" s="162"/>
      <c r="AF18" s="397"/>
      <c r="AG18" s="398"/>
      <c r="AH18" s="130"/>
      <c r="AI18" s="104"/>
      <c r="AP18" s="104"/>
      <c r="AQ18" s="104"/>
      <c r="AR18" s="104"/>
    </row>
    <row r="19" spans="1:47" ht="15" customHeight="1" x14ac:dyDescent="0.25">
      <c r="B19" s="129"/>
      <c r="C19" s="132" t="s">
        <v>489</v>
      </c>
      <c r="D19" s="499"/>
      <c r="E19" s="499"/>
      <c r="F19" s="499"/>
      <c r="G19" s="499"/>
      <c r="H19" s="499"/>
      <c r="I19" s="499"/>
      <c r="J19" s="499"/>
      <c r="K19" s="130"/>
      <c r="M19" s="135"/>
      <c r="N19" s="88"/>
      <c r="O19" s="143" t="s">
        <v>504</v>
      </c>
      <c r="P19" s="20">
        <v>8</v>
      </c>
      <c r="Q19" s="92">
        <v>17</v>
      </c>
      <c r="R19" s="161"/>
      <c r="S19" s="162"/>
      <c r="T19" s="161"/>
      <c r="U19" s="162"/>
      <c r="V19" s="161"/>
      <c r="W19" s="474"/>
      <c r="X19" s="475"/>
      <c r="Y19" s="478"/>
      <c r="Z19" s="479"/>
      <c r="AA19" s="162"/>
      <c r="AB19" s="161"/>
      <c r="AC19" s="162"/>
      <c r="AD19" s="161"/>
      <c r="AE19" s="162"/>
      <c r="AF19" s="397"/>
      <c r="AG19" s="398"/>
      <c r="AH19" s="130"/>
      <c r="AI19" s="104"/>
      <c r="AP19" s="104"/>
      <c r="AQ19" s="104"/>
      <c r="AR19" s="104"/>
    </row>
    <row r="20" spans="1:47" ht="15" customHeight="1" x14ac:dyDescent="0.25">
      <c r="B20" s="129"/>
      <c r="C20" s="132" t="s">
        <v>490</v>
      </c>
      <c r="D20" s="539"/>
      <c r="E20" s="539"/>
      <c r="F20" s="539"/>
      <c r="G20" s="539"/>
      <c r="H20" s="539"/>
      <c r="I20" s="539"/>
      <c r="J20" s="539"/>
      <c r="K20" s="130"/>
      <c r="M20" s="135"/>
      <c r="N20" s="88"/>
      <c r="O20" s="143" t="s">
        <v>505</v>
      </c>
      <c r="P20" s="20">
        <v>8</v>
      </c>
      <c r="Q20" s="92">
        <v>17</v>
      </c>
      <c r="R20" s="161"/>
      <c r="S20" s="162"/>
      <c r="T20" s="161"/>
      <c r="U20" s="162"/>
      <c r="V20" s="161"/>
      <c r="W20" s="474"/>
      <c r="X20" s="475"/>
      <c r="Y20" s="478"/>
      <c r="Z20" s="479"/>
      <c r="AA20" s="162"/>
      <c r="AB20" s="161"/>
      <c r="AC20" s="162"/>
      <c r="AD20" s="161"/>
      <c r="AE20" s="162"/>
      <c r="AF20" s="397"/>
      <c r="AG20" s="398"/>
      <c r="AH20" s="130"/>
      <c r="AI20" s="104"/>
      <c r="AP20" s="104"/>
      <c r="AQ20" s="104"/>
      <c r="AR20" s="104"/>
    </row>
    <row r="21" spans="1:47" ht="15" customHeight="1" x14ac:dyDescent="0.25">
      <c r="B21" s="129"/>
      <c r="C21" s="132" t="s">
        <v>491</v>
      </c>
      <c r="D21" s="500"/>
      <c r="E21" s="500"/>
      <c r="F21" s="500"/>
      <c r="G21" s="500"/>
      <c r="H21" s="500"/>
      <c r="I21" s="500"/>
      <c r="J21" s="500"/>
      <c r="K21" s="130"/>
      <c r="M21" s="135"/>
      <c r="N21" s="88"/>
      <c r="O21" s="143" t="s">
        <v>506</v>
      </c>
      <c r="P21" s="20">
        <v>8</v>
      </c>
      <c r="Q21" s="92">
        <v>17</v>
      </c>
      <c r="R21" s="161"/>
      <c r="S21" s="162"/>
      <c r="T21" s="161"/>
      <c r="U21" s="162"/>
      <c r="V21" s="161"/>
      <c r="W21" s="474"/>
      <c r="X21" s="475"/>
      <c r="Y21" s="478"/>
      <c r="Z21" s="479"/>
      <c r="AA21" s="162"/>
      <c r="AB21" s="161"/>
      <c r="AC21" s="162"/>
      <c r="AD21" s="161"/>
      <c r="AE21" s="162"/>
      <c r="AF21" s="397"/>
      <c r="AG21" s="398"/>
      <c r="AH21" s="130"/>
      <c r="AI21" s="104"/>
      <c r="AP21" s="104"/>
      <c r="AQ21" s="104"/>
      <c r="AR21" s="104"/>
    </row>
    <row r="22" spans="1:47" ht="15" customHeight="1" x14ac:dyDescent="0.25">
      <c r="B22" s="129"/>
      <c r="C22" s="132"/>
      <c r="D22" s="133"/>
      <c r="E22" s="133"/>
      <c r="F22" s="133"/>
      <c r="G22" s="134"/>
      <c r="H22" s="134"/>
      <c r="I22" s="134"/>
      <c r="J22" s="133"/>
      <c r="K22" s="130"/>
      <c r="M22" s="135"/>
      <c r="N22" s="88"/>
      <c r="O22" s="143" t="s">
        <v>507</v>
      </c>
      <c r="P22" s="20">
        <v>0</v>
      </c>
      <c r="Q22" s="92">
        <v>24</v>
      </c>
      <c r="R22" s="161"/>
      <c r="S22" s="162"/>
      <c r="T22" s="161"/>
      <c r="U22" s="162"/>
      <c r="V22" s="161"/>
      <c r="W22" s="474"/>
      <c r="X22" s="475"/>
      <c r="Y22" s="478"/>
      <c r="Z22" s="479"/>
      <c r="AA22" s="162"/>
      <c r="AB22" s="161"/>
      <c r="AC22" s="162"/>
      <c r="AD22" s="161"/>
      <c r="AE22" s="162"/>
      <c r="AF22" s="397"/>
      <c r="AG22" s="398"/>
      <c r="AH22" s="130"/>
      <c r="AI22" s="104"/>
      <c r="AP22" s="104"/>
      <c r="AQ22" s="104"/>
      <c r="AR22" s="104"/>
    </row>
    <row r="23" spans="1:47" ht="15" customHeight="1" x14ac:dyDescent="0.25">
      <c r="B23" s="129"/>
      <c r="C23" s="132" t="s">
        <v>2954</v>
      </c>
      <c r="D23" s="499"/>
      <c r="E23" s="499"/>
      <c r="F23" s="499"/>
      <c r="G23" s="499"/>
      <c r="H23" s="132"/>
      <c r="I23" s="134"/>
      <c r="J23" s="133"/>
      <c r="K23" s="130"/>
      <c r="M23" s="135"/>
      <c r="N23" s="88"/>
      <c r="O23" s="143" t="s">
        <v>508</v>
      </c>
      <c r="P23" s="20">
        <v>0</v>
      </c>
      <c r="Q23" s="92">
        <v>24</v>
      </c>
      <c r="R23" s="161"/>
      <c r="S23" s="162"/>
      <c r="T23" s="161"/>
      <c r="U23" s="162"/>
      <c r="V23" s="161"/>
      <c r="W23" s="474"/>
      <c r="X23" s="475"/>
      <c r="Y23" s="478"/>
      <c r="Z23" s="479"/>
      <c r="AA23" s="162"/>
      <c r="AB23" s="161"/>
      <c r="AC23" s="162"/>
      <c r="AD23" s="161"/>
      <c r="AE23" s="162"/>
      <c r="AF23" s="397"/>
      <c r="AG23" s="398"/>
      <c r="AH23" s="130"/>
      <c r="AI23" s="104"/>
      <c r="AP23" s="104"/>
      <c r="AQ23" s="104"/>
      <c r="AR23" s="104"/>
    </row>
    <row r="24" spans="1:47" ht="15" customHeight="1" x14ac:dyDescent="0.25">
      <c r="B24" s="129"/>
      <c r="C24" s="132" t="s">
        <v>493</v>
      </c>
      <c r="D24" s="540"/>
      <c r="E24" s="540"/>
      <c r="F24" s="540"/>
      <c r="G24" s="540"/>
      <c r="H24" s="132"/>
      <c r="I24" s="133"/>
      <c r="J24" s="133"/>
      <c r="K24" s="130"/>
      <c r="M24" s="135"/>
      <c r="N24" s="144"/>
      <c r="O24" s="143" t="s">
        <v>118</v>
      </c>
      <c r="P24" s="531">
        <v>8</v>
      </c>
      <c r="Q24" s="532"/>
      <c r="R24" s="535"/>
      <c r="S24" s="536"/>
      <c r="T24" s="535"/>
      <c r="U24" s="536"/>
      <c r="V24" s="535"/>
      <c r="W24" s="543"/>
      <c r="X24" s="536"/>
      <c r="Y24" s="535"/>
      <c r="Z24" s="543"/>
      <c r="AA24" s="536"/>
      <c r="AB24" s="535"/>
      <c r="AC24" s="536"/>
      <c r="AD24" s="535"/>
      <c r="AE24" s="536"/>
      <c r="AF24" s="397"/>
      <c r="AG24" s="398"/>
      <c r="AH24" s="130"/>
      <c r="AI24" s="104"/>
      <c r="AP24" s="104"/>
      <c r="AQ24" s="104"/>
      <c r="AR24" s="104"/>
    </row>
    <row r="25" spans="1:47" ht="15" customHeight="1" x14ac:dyDescent="0.25">
      <c r="B25" s="129"/>
      <c r="C25" s="132" t="s">
        <v>494</v>
      </c>
      <c r="D25" s="518"/>
      <c r="E25" s="518"/>
      <c r="F25" s="134"/>
      <c r="G25" s="134"/>
      <c r="H25" s="132" t="s">
        <v>495</v>
      </c>
      <c r="I25" s="519"/>
      <c r="J25" s="519"/>
      <c r="K25" s="130"/>
      <c r="M25" s="135"/>
      <c r="N25" s="144"/>
      <c r="O25" s="143" t="s">
        <v>119</v>
      </c>
      <c r="P25" s="531">
        <v>52</v>
      </c>
      <c r="Q25" s="532"/>
      <c r="R25" s="535"/>
      <c r="S25" s="536"/>
      <c r="T25" s="535"/>
      <c r="U25" s="536"/>
      <c r="V25" s="535"/>
      <c r="W25" s="543"/>
      <c r="X25" s="536"/>
      <c r="Y25" s="535"/>
      <c r="Z25" s="543"/>
      <c r="AA25" s="536"/>
      <c r="AB25" s="535"/>
      <c r="AC25" s="536"/>
      <c r="AD25" s="535"/>
      <c r="AE25" s="536"/>
      <c r="AF25" s="397"/>
      <c r="AG25" s="398"/>
      <c r="AH25" s="130"/>
      <c r="AI25" s="104"/>
      <c r="AP25" s="104"/>
      <c r="AQ25" s="104"/>
      <c r="AR25" s="104"/>
    </row>
    <row r="26" spans="1:47" ht="15" customHeight="1" thickBot="1" x14ac:dyDescent="0.3">
      <c r="B26" s="129"/>
      <c r="C26" s="132" t="s">
        <v>496</v>
      </c>
      <c r="D26" s="520"/>
      <c r="E26" s="520"/>
      <c r="F26" s="134"/>
      <c r="G26" s="134"/>
      <c r="H26" s="132" t="s">
        <v>497</v>
      </c>
      <c r="I26" s="519"/>
      <c r="J26" s="519"/>
      <c r="K26" s="130"/>
      <c r="M26" s="135"/>
      <c r="N26" s="88"/>
      <c r="O26" s="143" t="s">
        <v>2905</v>
      </c>
      <c r="P26" s="533">
        <v>0</v>
      </c>
      <c r="Q26" s="534"/>
      <c r="R26" s="537"/>
      <c r="S26" s="538"/>
      <c r="T26" s="537"/>
      <c r="U26" s="538"/>
      <c r="V26" s="537"/>
      <c r="W26" s="544"/>
      <c r="X26" s="538"/>
      <c r="Y26" s="537"/>
      <c r="Z26" s="544"/>
      <c r="AA26" s="538"/>
      <c r="AB26" s="537"/>
      <c r="AC26" s="538"/>
      <c r="AD26" s="537"/>
      <c r="AE26" s="538"/>
      <c r="AF26" s="399"/>
      <c r="AG26" s="400"/>
      <c r="AH26" s="145"/>
      <c r="AI26" s="107"/>
      <c r="AP26" s="107"/>
      <c r="AQ26" s="107"/>
      <c r="AR26" s="107"/>
    </row>
    <row r="27" spans="1:47" ht="15" customHeight="1" x14ac:dyDescent="0.25">
      <c r="B27" s="135"/>
      <c r="C27" s="541" t="str">
        <f>IF(I26="","",IF(I26="Custom","Move on to Section 2, Custom Lighting Operation Schedule, to the right","Move on to Section 2, Space Type Details, below"))</f>
        <v/>
      </c>
      <c r="D27" s="541"/>
      <c r="E27" s="541"/>
      <c r="F27" s="541"/>
      <c r="G27" s="541"/>
      <c r="H27" s="541"/>
      <c r="I27" s="541"/>
      <c r="J27" s="541"/>
      <c r="K27" s="130"/>
      <c r="M27" s="135"/>
      <c r="N27" s="88"/>
      <c r="O27" s="146" t="s">
        <v>110</v>
      </c>
      <c r="P27" s="526">
        <f>(((SUM(Q17:Q23)-SUM(P17:P23))*P25)/((7*24*52)/8760))-(P24*((SUM(Q17:Q21)-SUM(P17:P21))/5))</f>
        <v>4777.2857142857147</v>
      </c>
      <c r="Q27" s="527"/>
      <c r="R27" s="516" t="str">
        <f>IF((SUM(S17:S23)-SUM(R17:R23))&lt;1,"",(((SUM(S17:S23)-SUM(R17:R23))*R25)/((7*24*52)/8760))-(R24*((SUM(S17:S21)-SUM(R17:R21))/5)))</f>
        <v/>
      </c>
      <c r="S27" s="517"/>
      <c r="T27" s="516" t="str">
        <f>IF((SUM(U17:U23)-SUM(T17:T23))&lt;1,"",(((SUM(U17:U23)-SUM(T17:T23))*T25)/((7*24*52)/8760))-(T24*((SUM(U17:U21)-SUM(T17:T21))/5)))</f>
        <v/>
      </c>
      <c r="U27" s="517"/>
      <c r="V27" s="462" t="str">
        <f>IF((SUM(W17:W23)-SUM(V17:V23))&lt;1,"",(((SUM(W17:W23)-SUM(V17:V23))*V25)/((7*24*52)/8760))-(V24*((SUM(W17:W21)-SUM(V17:V21))/5)))</f>
        <v/>
      </c>
      <c r="W27" s="463"/>
      <c r="X27" s="464"/>
      <c r="Y27" s="462" t="str">
        <f>IF((SUM(AA17:AA23)-SUM(Y17:Y23))&lt;1,"",(((SUM(AA17:AA23)-SUM(Y17:Y23))*Y25)/((7*24*52)/8760))-(Y24*((SUM(AA17:AA21)-SUM(Y17:Y21))/5)))</f>
        <v/>
      </c>
      <c r="Z27" s="463"/>
      <c r="AA27" s="464"/>
      <c r="AB27" s="516" t="str">
        <f>IF((SUM(AC17:AC23)-SUM(AB17:AB23))&lt;1,"",(((SUM(AC17:AC23)-SUM(AB17:AB23))*AB25)/((7*24*52)/8760))-(AB24*((SUM(AC17:AC21)-SUM(AB17:AB21))/5)))</f>
        <v/>
      </c>
      <c r="AC27" s="517"/>
      <c r="AD27" s="516" t="str">
        <f>IF((SUM(AE17:AE23)-SUM(AD17:AD23))&lt;1,"",(((SUM(AE17:AE23)-SUM(AD17:AD23))*AD25)/((7*24*52)/8760))-(AD24*((SUM(AE17:AE21)-SUM(AD17:AD21))/5)))</f>
        <v/>
      </c>
      <c r="AE27" s="517"/>
      <c r="AF27" s="99" t="str">
        <f>IF(D23="","",VLOOKUP(VLOOKUP($D$23,Lookups!$E$30:$J$66,5,FALSE),HOU_CF_IF,2,FALSE))</f>
        <v/>
      </c>
      <c r="AG27" s="100" t="str">
        <f>IF(D23="","",VLOOKUP(VLOOKUP($D$23,Lookups!$E$30:$J$66,5,FALSE),HOU_CF_IF,4,FALSE))</f>
        <v/>
      </c>
      <c r="AH27" s="145"/>
      <c r="AI27" s="107"/>
      <c r="AP27" s="107"/>
      <c r="AQ27" s="107"/>
      <c r="AR27" s="107"/>
    </row>
    <row r="28" spans="1:47" ht="15" customHeight="1" thickBot="1" x14ac:dyDescent="0.3">
      <c r="A28" s="104"/>
      <c r="B28" s="135"/>
      <c r="C28" s="541"/>
      <c r="D28" s="541"/>
      <c r="E28" s="541"/>
      <c r="F28" s="541"/>
      <c r="G28" s="541"/>
      <c r="H28" s="541"/>
      <c r="I28" s="541"/>
      <c r="J28" s="541"/>
      <c r="K28" s="130"/>
      <c r="L28" s="104"/>
      <c r="M28" s="135"/>
      <c r="N28" s="88"/>
      <c r="O28" s="146" t="s">
        <v>112</v>
      </c>
      <c r="P28" s="524">
        <f>AC42-(P26/13)</f>
        <v>0.75</v>
      </c>
      <c r="Q28" s="525"/>
      <c r="R28" s="461" t="str">
        <f>IF(R27="","",AC48-(R26/13))</f>
        <v/>
      </c>
      <c r="S28" s="460"/>
      <c r="T28" s="461" t="str">
        <f>IF(T27="","",AC54-(T26/13))</f>
        <v/>
      </c>
      <c r="U28" s="460"/>
      <c r="V28" s="459" t="str">
        <f>IF(V27="","",AC60-(V26/13))</f>
        <v/>
      </c>
      <c r="W28" s="459"/>
      <c r="X28" s="460"/>
      <c r="Y28" s="459" t="str">
        <f>IF(Y27="","",AC66-(Y26/13))</f>
        <v/>
      </c>
      <c r="Z28" s="459"/>
      <c r="AA28" s="460"/>
      <c r="AB28" s="461" t="str">
        <f>IF(AB27="","",AC72-(AB26/13))</f>
        <v/>
      </c>
      <c r="AC28" s="460"/>
      <c r="AD28" s="461" t="str">
        <f>IF(AD27="","",AC78-(AD26/13))</f>
        <v/>
      </c>
      <c r="AE28" s="460"/>
      <c r="AF28" s="86" t="str">
        <f>IF(D23="","",VLOOKUP(VLOOKUP($D$23,Lookups!$E$30:$J$66,5,FALSE),HOU_CF_IF,3,FALSE))</f>
        <v/>
      </c>
      <c r="AG28" s="87" t="str">
        <f>IF(D23="","",VLOOKUP(VLOOKUP($D$23,Lookups!$E$30:$J$66,5,FALSE),HOU_CF_IF,5,FALSE))</f>
        <v/>
      </c>
      <c r="AH28" s="145"/>
      <c r="AI28" s="107"/>
      <c r="AP28" s="107"/>
      <c r="AQ28" s="107"/>
      <c r="AR28" s="107"/>
    </row>
    <row r="29" spans="1:47" ht="15" customHeight="1" thickBot="1" x14ac:dyDescent="0.3">
      <c r="B29" s="118"/>
      <c r="C29" s="542"/>
      <c r="D29" s="542"/>
      <c r="E29" s="542"/>
      <c r="F29" s="542"/>
      <c r="G29" s="542"/>
      <c r="H29" s="542"/>
      <c r="I29" s="542"/>
      <c r="J29" s="542"/>
      <c r="K29" s="124"/>
      <c r="M29" s="118"/>
      <c r="N29" s="147"/>
      <c r="O29" s="147"/>
      <c r="P29" s="147"/>
      <c r="Q29" s="147"/>
      <c r="R29" s="147"/>
      <c r="S29" s="147"/>
      <c r="T29" s="147"/>
      <c r="U29" s="147"/>
      <c r="V29" s="147"/>
      <c r="W29" s="147"/>
      <c r="X29" s="147"/>
      <c r="Y29" s="147"/>
      <c r="Z29" s="147"/>
      <c r="AA29" s="147"/>
      <c r="AB29" s="148"/>
      <c r="AC29" s="148"/>
      <c r="AD29" s="148"/>
      <c r="AE29" s="148"/>
      <c r="AF29" s="149"/>
      <c r="AG29" s="149"/>
      <c r="AH29" s="150"/>
      <c r="AI29" s="107"/>
      <c r="AP29" s="107"/>
      <c r="AQ29" s="107"/>
      <c r="AR29" s="107"/>
      <c r="AU29" s="108"/>
    </row>
    <row r="30" spans="1:47" ht="15" customHeight="1" thickBot="1" x14ac:dyDescent="0.3">
      <c r="M30" s="104"/>
      <c r="N30" s="109"/>
      <c r="O30" s="109"/>
      <c r="P30" s="109"/>
      <c r="Q30" s="109"/>
      <c r="R30" s="109"/>
      <c r="S30" s="109"/>
      <c r="T30" s="109"/>
      <c r="U30" s="109"/>
      <c r="V30" s="109"/>
      <c r="W30" s="109"/>
      <c r="X30" s="109"/>
      <c r="Y30" s="109"/>
      <c r="Z30" s="109"/>
      <c r="AA30" s="109"/>
      <c r="AB30" s="109"/>
      <c r="AC30" s="109"/>
      <c r="AD30" s="109"/>
      <c r="AE30" s="109"/>
      <c r="AF30" s="109"/>
      <c r="AG30" s="109"/>
      <c r="AH30" s="104"/>
      <c r="AI30" s="104"/>
      <c r="AP30" s="104"/>
      <c r="AQ30" s="104"/>
      <c r="AR30" s="104"/>
    </row>
    <row r="31" spans="1:47" ht="15" customHeight="1" x14ac:dyDescent="0.25">
      <c r="B31" s="465" t="str">
        <f>IF(I26="","Space Type Details",IF(I26="Custom","❸ Space Type Details","❷ Space Type Details"))</f>
        <v>Space Type Details</v>
      </c>
      <c r="C31" s="466"/>
      <c r="D31" s="466"/>
      <c r="E31" s="466"/>
      <c r="F31" s="466"/>
      <c r="G31" s="466"/>
      <c r="H31" s="466"/>
      <c r="I31" s="466"/>
      <c r="J31" s="466"/>
      <c r="K31" s="466"/>
      <c r="L31" s="466"/>
      <c r="M31" s="466"/>
      <c r="N31" s="466"/>
      <c r="O31" s="466"/>
      <c r="P31" s="466"/>
      <c r="Q31" s="466"/>
      <c r="R31" s="466"/>
      <c r="S31" s="466"/>
      <c r="T31" s="466"/>
      <c r="U31" s="466"/>
      <c r="V31" s="466"/>
      <c r="W31" s="467"/>
      <c r="Y31" s="465" t="s">
        <v>2947</v>
      </c>
      <c r="Z31" s="466"/>
      <c r="AA31" s="466"/>
      <c r="AB31" s="466"/>
      <c r="AC31" s="466"/>
      <c r="AD31" s="466"/>
      <c r="AE31" s="466"/>
      <c r="AF31" s="466"/>
      <c r="AG31" s="466"/>
      <c r="AH31" s="467"/>
      <c r="AI31" s="104"/>
      <c r="AP31" s="104"/>
      <c r="AQ31" s="104"/>
      <c r="AR31" s="104"/>
    </row>
    <row r="32" spans="1:47" ht="15" customHeight="1" thickBot="1" x14ac:dyDescent="0.3">
      <c r="B32" s="468"/>
      <c r="C32" s="469"/>
      <c r="D32" s="469"/>
      <c r="E32" s="469"/>
      <c r="F32" s="469"/>
      <c r="G32" s="469"/>
      <c r="H32" s="469"/>
      <c r="I32" s="469"/>
      <c r="J32" s="469"/>
      <c r="K32" s="469"/>
      <c r="L32" s="469"/>
      <c r="M32" s="469"/>
      <c r="N32" s="469"/>
      <c r="O32" s="469"/>
      <c r="P32" s="469"/>
      <c r="Q32" s="469"/>
      <c r="R32" s="469"/>
      <c r="S32" s="469"/>
      <c r="T32" s="469"/>
      <c r="U32" s="469"/>
      <c r="V32" s="469"/>
      <c r="W32" s="470"/>
      <c r="Y32" s="468"/>
      <c r="Z32" s="469"/>
      <c r="AA32" s="469"/>
      <c r="AB32" s="469"/>
      <c r="AC32" s="469"/>
      <c r="AD32" s="469"/>
      <c r="AE32" s="469"/>
      <c r="AF32" s="469"/>
      <c r="AG32" s="469"/>
      <c r="AH32" s="470"/>
    </row>
    <row r="33" spans="2:34" ht="15" customHeight="1" thickBot="1" x14ac:dyDescent="0.35">
      <c r="B33" s="125"/>
      <c r="C33" s="89"/>
      <c r="D33" s="89"/>
      <c r="E33" s="89"/>
      <c r="F33" s="89"/>
      <c r="G33" s="18"/>
      <c r="H33" s="18"/>
      <c r="I33" s="18"/>
      <c r="J33" s="89"/>
      <c r="K33" s="89"/>
      <c r="L33" s="18"/>
      <c r="M33" s="18"/>
      <c r="N33" s="89"/>
      <c r="O33" s="89"/>
      <c r="P33" s="89"/>
      <c r="Q33" s="89"/>
      <c r="R33" s="89"/>
      <c r="S33" s="89"/>
      <c r="T33" s="18"/>
      <c r="U33" s="18"/>
      <c r="V33" s="18"/>
      <c r="W33" s="130"/>
      <c r="Y33" s="135"/>
      <c r="Z33" s="18"/>
      <c r="AA33" s="18"/>
      <c r="AB33" s="18"/>
      <c r="AC33" s="18"/>
      <c r="AD33" s="18"/>
      <c r="AE33" s="18"/>
      <c r="AF33" s="18"/>
      <c r="AG33" s="18"/>
      <c r="AH33" s="130"/>
    </row>
    <row r="34" spans="2:34" ht="15" customHeight="1" x14ac:dyDescent="0.3">
      <c r="B34" s="125"/>
      <c r="C34" s="471" t="s">
        <v>2882</v>
      </c>
      <c r="D34" s="471"/>
      <c r="E34" s="471"/>
      <c r="F34" s="471"/>
      <c r="G34" s="471"/>
      <c r="H34" s="471"/>
      <c r="I34" s="471"/>
      <c r="J34" s="471"/>
      <c r="K34" s="471"/>
      <c r="L34" s="471"/>
      <c r="M34" s="471"/>
      <c r="N34" s="471"/>
      <c r="O34" s="471"/>
      <c r="P34" s="471"/>
      <c r="Q34" s="471"/>
      <c r="R34" s="471"/>
      <c r="S34" s="471"/>
      <c r="T34" s="471"/>
      <c r="U34" s="471"/>
      <c r="V34" s="471"/>
      <c r="W34" s="404"/>
      <c r="Y34" s="135"/>
      <c r="Z34" s="454" t="s">
        <v>509</v>
      </c>
      <c r="AA34" s="455"/>
      <c r="AB34" s="455"/>
      <c r="AC34" s="455"/>
      <c r="AD34" s="455"/>
      <c r="AE34" s="455"/>
      <c r="AF34" s="455"/>
      <c r="AG34" s="456"/>
      <c r="AH34" s="130"/>
    </row>
    <row r="35" spans="2:34" ht="15" customHeight="1" thickBot="1" x14ac:dyDescent="0.35">
      <c r="B35" s="125"/>
      <c r="C35" s="471"/>
      <c r="D35" s="471"/>
      <c r="E35" s="471"/>
      <c r="F35" s="471"/>
      <c r="G35" s="471"/>
      <c r="H35" s="471"/>
      <c r="I35" s="471"/>
      <c r="J35" s="471"/>
      <c r="K35" s="471"/>
      <c r="L35" s="471"/>
      <c r="M35" s="471"/>
      <c r="N35" s="471"/>
      <c r="O35" s="471"/>
      <c r="P35" s="471"/>
      <c r="Q35" s="471"/>
      <c r="R35" s="471"/>
      <c r="S35" s="471"/>
      <c r="T35" s="471"/>
      <c r="U35" s="471"/>
      <c r="V35" s="471"/>
      <c r="W35" s="404"/>
      <c r="Y35" s="135"/>
      <c r="Z35" s="457"/>
      <c r="AA35" s="458"/>
      <c r="AB35" s="458"/>
      <c r="AC35" s="21"/>
      <c r="AD35" s="21"/>
      <c r="AE35" s="21"/>
      <c r="AF35" s="21"/>
      <c r="AG35" s="22"/>
      <c r="AH35" s="130"/>
    </row>
    <row r="36" spans="2:34" ht="15" customHeight="1" thickBot="1" x14ac:dyDescent="0.35">
      <c r="B36" s="125"/>
      <c r="C36" s="151"/>
      <c r="D36" s="151"/>
      <c r="E36" s="151"/>
      <c r="F36" s="151"/>
      <c r="G36" s="18"/>
      <c r="H36" s="18"/>
      <c r="I36" s="18"/>
      <c r="J36" s="151"/>
      <c r="K36" s="151"/>
      <c r="L36" s="18"/>
      <c r="M36" s="18"/>
      <c r="N36" s="151"/>
      <c r="O36" s="151"/>
      <c r="P36" s="151"/>
      <c r="Q36" s="151"/>
      <c r="R36" s="151"/>
      <c r="S36" s="89"/>
      <c r="T36" s="18"/>
      <c r="U36" s="18"/>
      <c r="V36" s="18"/>
      <c r="W36" s="130"/>
      <c r="Y36" s="135"/>
      <c r="Z36" s="457"/>
      <c r="AA36" s="458"/>
      <c r="AB36" s="458"/>
      <c r="AC36" s="408">
        <v>14</v>
      </c>
      <c r="AD36" s="409">
        <v>15</v>
      </c>
      <c r="AE36" s="409">
        <v>16</v>
      </c>
      <c r="AF36" s="410">
        <v>17</v>
      </c>
      <c r="AG36" s="22"/>
      <c r="AH36" s="130"/>
    </row>
    <row r="37" spans="2:34" ht="15" customHeight="1" x14ac:dyDescent="0.3">
      <c r="B37" s="125"/>
      <c r="C37" s="152" t="s">
        <v>476</v>
      </c>
      <c r="D37" s="522"/>
      <c r="E37" s="522"/>
      <c r="F37" s="522"/>
      <c r="G37" s="522"/>
      <c r="H37" s="18"/>
      <c r="I37" s="18"/>
      <c r="J37" s="153"/>
      <c r="K37" s="153"/>
      <c r="L37" s="18"/>
      <c r="M37" s="18"/>
      <c r="N37" s="132" t="s">
        <v>477</v>
      </c>
      <c r="O37" s="528" t="str">
        <f>IF(D37="","",IF(D37="Space by Space Method",SUMPRODUCT(O41:O60,T41:T60),IF(D37="Building Area Method",VLOOKUP(D23,LPD_BuildingArea,4,FALSE)*D25,"")))</f>
        <v/>
      </c>
      <c r="P37" s="528"/>
      <c r="Q37" s="528"/>
      <c r="R37" s="18"/>
      <c r="S37" s="89"/>
      <c r="T37" s="18"/>
      <c r="U37" s="18"/>
      <c r="V37" s="18"/>
      <c r="W37" s="130"/>
      <c r="Y37" s="135"/>
      <c r="Z37" s="434" t="s">
        <v>502</v>
      </c>
      <c r="AA37" s="435"/>
      <c r="AB37" s="436"/>
      <c r="AC37" s="90">
        <f t="shared" ref="AC37:AF41" si="0">IF(AND(INDEX($P$17:$Q$23,MATCH($Z37,$O$17:$O$23,0),1)&lt;AC$36,AC$36&lt;INDEX($P$17:$Q$23,MATCH($Z37,$O$17:$O$23,0),2)),1,0)</f>
        <v>1</v>
      </c>
      <c r="AD37" s="23">
        <f t="shared" si="0"/>
        <v>1</v>
      </c>
      <c r="AE37" s="23">
        <f t="shared" si="0"/>
        <v>1</v>
      </c>
      <c r="AF37" s="24">
        <f t="shared" si="0"/>
        <v>0</v>
      </c>
      <c r="AG37" s="451" t="str">
        <f>P15</f>
        <v>Example</v>
      </c>
      <c r="AH37" s="130"/>
    </row>
    <row r="38" spans="2:34" ht="15" customHeight="1" x14ac:dyDescent="0.3">
      <c r="B38" s="125"/>
      <c r="C38" s="154"/>
      <c r="D38" s="155"/>
      <c r="E38" s="155"/>
      <c r="F38" s="155"/>
      <c r="G38" s="18"/>
      <c r="H38" s="18"/>
      <c r="I38" s="18"/>
      <c r="J38" s="155"/>
      <c r="K38" s="155"/>
      <c r="L38" s="18"/>
      <c r="M38" s="18"/>
      <c r="N38" s="155"/>
      <c r="O38" s="154"/>
      <c r="P38" s="154"/>
      <c r="Q38" s="134"/>
      <c r="R38" s="132"/>
      <c r="S38" s="89"/>
      <c r="T38" s="443" t="s">
        <v>2978</v>
      </c>
      <c r="U38" s="443"/>
      <c r="V38" s="443"/>
      <c r="W38" s="130"/>
      <c r="Y38" s="135"/>
      <c r="Z38" s="437" t="s">
        <v>503</v>
      </c>
      <c r="AA38" s="438"/>
      <c r="AB38" s="439"/>
      <c r="AC38" s="98">
        <f t="shared" si="0"/>
        <v>1</v>
      </c>
      <c r="AD38" s="25">
        <f t="shared" si="0"/>
        <v>1</v>
      </c>
      <c r="AE38" s="25">
        <f t="shared" si="0"/>
        <v>1</v>
      </c>
      <c r="AF38" s="26">
        <f t="shared" si="0"/>
        <v>0</v>
      </c>
      <c r="AG38" s="452"/>
      <c r="AH38" s="130"/>
    </row>
    <row r="39" spans="2:34" ht="15" customHeight="1" x14ac:dyDescent="0.25">
      <c r="B39" s="129"/>
      <c r="C39" s="156" t="s">
        <v>2880</v>
      </c>
      <c r="D39" s="485" t="s">
        <v>100</v>
      </c>
      <c r="E39" s="485"/>
      <c r="F39" s="485"/>
      <c r="G39" s="485"/>
      <c r="H39" s="485"/>
      <c r="I39" s="485"/>
      <c r="J39" s="485" t="s">
        <v>101</v>
      </c>
      <c r="K39" s="485"/>
      <c r="L39" s="485"/>
      <c r="M39" s="485"/>
      <c r="N39" s="156" t="s">
        <v>102</v>
      </c>
      <c r="O39" s="485" t="s">
        <v>2976</v>
      </c>
      <c r="P39" s="485"/>
      <c r="Q39" s="450" t="s">
        <v>2975</v>
      </c>
      <c r="R39" s="450"/>
      <c r="S39" s="450"/>
      <c r="T39" s="444"/>
      <c r="U39" s="444"/>
      <c r="V39" s="444"/>
      <c r="W39" s="405"/>
      <c r="Y39" s="135"/>
      <c r="Z39" s="437" t="s">
        <v>504</v>
      </c>
      <c r="AA39" s="438"/>
      <c r="AB39" s="439"/>
      <c r="AC39" s="98">
        <f t="shared" si="0"/>
        <v>1</v>
      </c>
      <c r="AD39" s="25">
        <f t="shared" si="0"/>
        <v>1</v>
      </c>
      <c r="AE39" s="25">
        <f t="shared" si="0"/>
        <v>1</v>
      </c>
      <c r="AF39" s="26">
        <f t="shared" si="0"/>
        <v>0</v>
      </c>
      <c r="AG39" s="452"/>
      <c r="AH39" s="130"/>
    </row>
    <row r="40" spans="2:34" ht="15" customHeight="1" x14ac:dyDescent="0.25">
      <c r="B40" s="129"/>
      <c r="C40" s="160" t="s">
        <v>484</v>
      </c>
      <c r="D40" s="523" t="str">
        <f>IF(D24="Retrofit","","Office - Enclosed")</f>
        <v>Office - Enclosed</v>
      </c>
      <c r="E40" s="523"/>
      <c r="F40" s="523"/>
      <c r="G40" s="523"/>
      <c r="H40" s="523"/>
      <c r="I40" s="523"/>
      <c r="J40" s="521" t="s">
        <v>484</v>
      </c>
      <c r="K40" s="521"/>
      <c r="L40" s="521"/>
      <c r="M40" s="521"/>
      <c r="N40" s="160" t="s">
        <v>485</v>
      </c>
      <c r="O40" s="484">
        <f>IF(D24="Retrofit","",20000)</f>
        <v>20000</v>
      </c>
      <c r="P40" s="484"/>
      <c r="Q40" s="484" t="str">
        <f>IF(D24="Retrofit","","Square Feet")</f>
        <v>Square Feet</v>
      </c>
      <c r="R40" s="484"/>
      <c r="S40" s="484"/>
      <c r="T40" s="481">
        <f>IF(D24="Retrofit","",IFERROR(VLOOKUP(D40,LPD_SpaceBySpace,2,FALSE),""))</f>
        <v>1.1000000000000001</v>
      </c>
      <c r="U40" s="482"/>
      <c r="V40" s="483"/>
      <c r="W40" s="406"/>
      <c r="Y40" s="135"/>
      <c r="Z40" s="440" t="s">
        <v>505</v>
      </c>
      <c r="AA40" s="441"/>
      <c r="AB40" s="442"/>
      <c r="AC40" s="98">
        <f t="shared" si="0"/>
        <v>1</v>
      </c>
      <c r="AD40" s="25">
        <f t="shared" si="0"/>
        <v>1</v>
      </c>
      <c r="AE40" s="25">
        <f t="shared" si="0"/>
        <v>1</v>
      </c>
      <c r="AF40" s="26">
        <f t="shared" si="0"/>
        <v>0</v>
      </c>
      <c r="AG40" s="452"/>
      <c r="AH40" s="130"/>
    </row>
    <row r="41" spans="2:34" ht="15" customHeight="1" x14ac:dyDescent="0.25">
      <c r="B41" s="135"/>
      <c r="C41" s="163" t="str">
        <f>IF(D37="Building Area Method","Whole Facility","&lt;Name Your Space Type&gt;")</f>
        <v>&lt;Name Your Space Type&gt;</v>
      </c>
      <c r="D41" s="486" t="str">
        <f>IF(D37="Building Area Method","NEW CONSTRUCTION WHOLE BUILDING","")</f>
        <v/>
      </c>
      <c r="E41" s="486"/>
      <c r="F41" s="486"/>
      <c r="G41" s="486"/>
      <c r="H41" s="486"/>
      <c r="I41" s="486"/>
      <c r="J41" s="487"/>
      <c r="K41" s="487"/>
      <c r="L41" s="487"/>
      <c r="M41" s="487"/>
      <c r="N41" s="164"/>
      <c r="O41" s="480" t="str">
        <f>IF(D37="Building Area Method",D25,"")</f>
        <v/>
      </c>
      <c r="P41" s="480"/>
      <c r="Q41" s="433" t="str">
        <f t="shared" ref="Q41:Q60" si="1">IFERROR(IF(VLOOKUP(D41,LPD_SpaceBySpace,3,FALSE)="","Square Feet",VLOOKUP(D41,LPD_SpaceBySpace,3,FALSE)),"")</f>
        <v/>
      </c>
      <c r="R41" s="433"/>
      <c r="S41" s="433"/>
      <c r="T41" s="432" t="str">
        <f t="shared" ref="T41:T60" si="2">IFERROR(VLOOKUP(D41,LPD_SpaceBySpace,2,FALSE),"")</f>
        <v/>
      </c>
      <c r="U41" s="432"/>
      <c r="V41" s="432"/>
      <c r="W41" s="407"/>
      <c r="Y41" s="135"/>
      <c r="Z41" s="440" t="s">
        <v>506</v>
      </c>
      <c r="AA41" s="441"/>
      <c r="AB41" s="442"/>
      <c r="AC41" s="98">
        <f t="shared" si="0"/>
        <v>1</v>
      </c>
      <c r="AD41" s="25">
        <f t="shared" si="0"/>
        <v>1</v>
      </c>
      <c r="AE41" s="25">
        <f t="shared" si="0"/>
        <v>1</v>
      </c>
      <c r="AF41" s="26">
        <f t="shared" si="0"/>
        <v>0</v>
      </c>
      <c r="AG41" s="452"/>
      <c r="AH41" s="130"/>
    </row>
    <row r="42" spans="2:34" ht="15" customHeight="1" thickBot="1" x14ac:dyDescent="0.3">
      <c r="B42" s="135"/>
      <c r="C42" s="163" t="s">
        <v>2881</v>
      </c>
      <c r="D42" s="486"/>
      <c r="E42" s="486"/>
      <c r="F42" s="486"/>
      <c r="G42" s="486"/>
      <c r="H42" s="486"/>
      <c r="I42" s="486"/>
      <c r="J42" s="488"/>
      <c r="K42" s="489"/>
      <c r="L42" s="489"/>
      <c r="M42" s="490"/>
      <c r="N42" s="164"/>
      <c r="O42" s="445"/>
      <c r="P42" s="446"/>
      <c r="Q42" s="433" t="str">
        <f t="shared" si="1"/>
        <v/>
      </c>
      <c r="R42" s="433"/>
      <c r="S42" s="433"/>
      <c r="T42" s="432" t="str">
        <f t="shared" si="2"/>
        <v/>
      </c>
      <c r="U42" s="432"/>
      <c r="V42" s="432"/>
      <c r="W42" s="407"/>
      <c r="Y42" s="135"/>
      <c r="Z42" s="447" t="s">
        <v>404</v>
      </c>
      <c r="AA42" s="448"/>
      <c r="AB42" s="449"/>
      <c r="AC42" s="401">
        <f>SUM(AC37:AF41)/20</f>
        <v>0.75</v>
      </c>
      <c r="AD42" s="401"/>
      <c r="AE42" s="401"/>
      <c r="AF42" s="402"/>
      <c r="AG42" s="453"/>
      <c r="AH42" s="130"/>
    </row>
    <row r="43" spans="2:34" ht="15" customHeight="1" x14ac:dyDescent="0.25">
      <c r="B43" s="135"/>
      <c r="C43" s="163" t="s">
        <v>2881</v>
      </c>
      <c r="D43" s="486"/>
      <c r="E43" s="486"/>
      <c r="F43" s="486"/>
      <c r="G43" s="486"/>
      <c r="H43" s="486"/>
      <c r="I43" s="486"/>
      <c r="J43" s="488"/>
      <c r="K43" s="489"/>
      <c r="L43" s="489"/>
      <c r="M43" s="490"/>
      <c r="N43" s="164"/>
      <c r="O43" s="445"/>
      <c r="P43" s="446"/>
      <c r="Q43" s="433" t="str">
        <f t="shared" si="1"/>
        <v/>
      </c>
      <c r="R43" s="433"/>
      <c r="S43" s="433"/>
      <c r="T43" s="432" t="str">
        <f t="shared" si="2"/>
        <v/>
      </c>
      <c r="U43" s="432"/>
      <c r="V43" s="432"/>
      <c r="W43" s="407"/>
      <c r="Y43" s="135"/>
      <c r="Z43" s="434" t="s">
        <v>502</v>
      </c>
      <c r="AA43" s="435"/>
      <c r="AB43" s="436"/>
      <c r="AC43" s="90">
        <f t="shared" ref="AC43:AF47" si="3">IF(AND(INDEX($R$17:$S$23,MATCH($Z43,$O$17:$O$23,0),1)&lt;=AC$36,AC$36&lt;INDEX($R$17:$S$23,MATCH($Z43,$O$17:$O$23,0),2)),1,0)</f>
        <v>0</v>
      </c>
      <c r="AD43" s="23">
        <f t="shared" si="3"/>
        <v>0</v>
      </c>
      <c r="AE43" s="23">
        <f t="shared" si="3"/>
        <v>0</v>
      </c>
      <c r="AF43" s="24">
        <f t="shared" si="3"/>
        <v>0</v>
      </c>
      <c r="AG43" s="451" t="str">
        <f>R15</f>
        <v>&lt;Input Name&gt;</v>
      </c>
      <c r="AH43" s="130"/>
    </row>
    <row r="44" spans="2:34" ht="15" customHeight="1" x14ac:dyDescent="0.25">
      <c r="B44" s="135"/>
      <c r="C44" s="163" t="s">
        <v>2881</v>
      </c>
      <c r="D44" s="486"/>
      <c r="E44" s="486"/>
      <c r="F44" s="486"/>
      <c r="G44" s="486"/>
      <c r="H44" s="486"/>
      <c r="I44" s="486"/>
      <c r="J44" s="488"/>
      <c r="K44" s="489"/>
      <c r="L44" s="489"/>
      <c r="M44" s="490"/>
      <c r="N44" s="164"/>
      <c r="O44" s="445"/>
      <c r="P44" s="446"/>
      <c r="Q44" s="433" t="str">
        <f t="shared" si="1"/>
        <v/>
      </c>
      <c r="R44" s="433"/>
      <c r="S44" s="433"/>
      <c r="T44" s="432" t="str">
        <f t="shared" si="2"/>
        <v/>
      </c>
      <c r="U44" s="432"/>
      <c r="V44" s="432"/>
      <c r="W44" s="407"/>
      <c r="Y44" s="135"/>
      <c r="Z44" s="437" t="s">
        <v>503</v>
      </c>
      <c r="AA44" s="438"/>
      <c r="AB44" s="439"/>
      <c r="AC44" s="98">
        <f t="shared" si="3"/>
        <v>0</v>
      </c>
      <c r="AD44" s="25">
        <f t="shared" si="3"/>
        <v>0</v>
      </c>
      <c r="AE44" s="25">
        <f t="shared" si="3"/>
        <v>0</v>
      </c>
      <c r="AF44" s="26">
        <f t="shared" si="3"/>
        <v>0</v>
      </c>
      <c r="AG44" s="452"/>
      <c r="AH44" s="130"/>
    </row>
    <row r="45" spans="2:34" ht="15" customHeight="1" x14ac:dyDescent="0.25">
      <c r="B45" s="135"/>
      <c r="C45" s="163" t="s">
        <v>2881</v>
      </c>
      <c r="D45" s="486"/>
      <c r="E45" s="486"/>
      <c r="F45" s="486"/>
      <c r="G45" s="486"/>
      <c r="H45" s="486"/>
      <c r="I45" s="486"/>
      <c r="J45" s="488"/>
      <c r="K45" s="489"/>
      <c r="L45" s="489"/>
      <c r="M45" s="490"/>
      <c r="N45" s="164"/>
      <c r="O45" s="445"/>
      <c r="P45" s="446"/>
      <c r="Q45" s="433" t="str">
        <f t="shared" si="1"/>
        <v/>
      </c>
      <c r="R45" s="433"/>
      <c r="S45" s="433"/>
      <c r="T45" s="432" t="str">
        <f t="shared" si="2"/>
        <v/>
      </c>
      <c r="U45" s="432"/>
      <c r="V45" s="432"/>
      <c r="W45" s="407"/>
      <c r="Y45" s="135"/>
      <c r="Z45" s="437" t="s">
        <v>504</v>
      </c>
      <c r="AA45" s="438"/>
      <c r="AB45" s="439"/>
      <c r="AC45" s="98">
        <f t="shared" si="3"/>
        <v>0</v>
      </c>
      <c r="AD45" s="25">
        <f t="shared" si="3"/>
        <v>0</v>
      </c>
      <c r="AE45" s="25">
        <f t="shared" si="3"/>
        <v>0</v>
      </c>
      <c r="AF45" s="26">
        <f t="shared" si="3"/>
        <v>0</v>
      </c>
      <c r="AG45" s="452"/>
      <c r="AH45" s="130"/>
    </row>
    <row r="46" spans="2:34" ht="15" customHeight="1" x14ac:dyDescent="0.25">
      <c r="B46" s="135"/>
      <c r="C46" s="163" t="s">
        <v>2881</v>
      </c>
      <c r="D46" s="486"/>
      <c r="E46" s="486"/>
      <c r="F46" s="486"/>
      <c r="G46" s="486"/>
      <c r="H46" s="486"/>
      <c r="I46" s="486"/>
      <c r="J46" s="488"/>
      <c r="K46" s="489"/>
      <c r="L46" s="489"/>
      <c r="M46" s="490"/>
      <c r="N46" s="164"/>
      <c r="O46" s="445"/>
      <c r="P46" s="446"/>
      <c r="Q46" s="433" t="str">
        <f t="shared" si="1"/>
        <v/>
      </c>
      <c r="R46" s="433"/>
      <c r="S46" s="433"/>
      <c r="T46" s="432" t="str">
        <f t="shared" si="2"/>
        <v/>
      </c>
      <c r="U46" s="432"/>
      <c r="V46" s="432"/>
      <c r="W46" s="407"/>
      <c r="Y46" s="135"/>
      <c r="Z46" s="440" t="s">
        <v>505</v>
      </c>
      <c r="AA46" s="441"/>
      <c r="AB46" s="442"/>
      <c r="AC46" s="98">
        <f t="shared" si="3"/>
        <v>0</v>
      </c>
      <c r="AD46" s="25">
        <f t="shared" si="3"/>
        <v>0</v>
      </c>
      <c r="AE46" s="25">
        <f t="shared" si="3"/>
        <v>0</v>
      </c>
      <c r="AF46" s="26">
        <f t="shared" si="3"/>
        <v>0</v>
      </c>
      <c r="AG46" s="452"/>
      <c r="AH46" s="130"/>
    </row>
    <row r="47" spans="2:34" ht="15" customHeight="1" x14ac:dyDescent="0.25">
      <c r="B47" s="135"/>
      <c r="C47" s="163" t="s">
        <v>2881</v>
      </c>
      <c r="D47" s="486"/>
      <c r="E47" s="486"/>
      <c r="F47" s="486"/>
      <c r="G47" s="486"/>
      <c r="H47" s="486"/>
      <c r="I47" s="486"/>
      <c r="J47" s="488"/>
      <c r="K47" s="489"/>
      <c r="L47" s="489"/>
      <c r="M47" s="490"/>
      <c r="N47" s="164"/>
      <c r="O47" s="445"/>
      <c r="P47" s="446"/>
      <c r="Q47" s="433" t="str">
        <f t="shared" si="1"/>
        <v/>
      </c>
      <c r="R47" s="433"/>
      <c r="S47" s="433"/>
      <c r="T47" s="432" t="str">
        <f t="shared" si="2"/>
        <v/>
      </c>
      <c r="U47" s="432"/>
      <c r="V47" s="432"/>
      <c r="W47" s="407"/>
      <c r="Y47" s="135"/>
      <c r="Z47" s="440" t="s">
        <v>506</v>
      </c>
      <c r="AA47" s="441"/>
      <c r="AB47" s="442"/>
      <c r="AC47" s="98">
        <f t="shared" si="3"/>
        <v>0</v>
      </c>
      <c r="AD47" s="25">
        <f t="shared" si="3"/>
        <v>0</v>
      </c>
      <c r="AE47" s="25">
        <f t="shared" si="3"/>
        <v>0</v>
      </c>
      <c r="AF47" s="26">
        <f t="shared" si="3"/>
        <v>0</v>
      </c>
      <c r="AG47" s="452"/>
      <c r="AH47" s="130"/>
    </row>
    <row r="48" spans="2:34" ht="15" customHeight="1" thickBot="1" x14ac:dyDescent="0.3">
      <c r="B48" s="135"/>
      <c r="C48" s="163" t="s">
        <v>2881</v>
      </c>
      <c r="D48" s="486"/>
      <c r="E48" s="486"/>
      <c r="F48" s="486"/>
      <c r="G48" s="486"/>
      <c r="H48" s="486"/>
      <c r="I48" s="486"/>
      <c r="J48" s="487"/>
      <c r="K48" s="487"/>
      <c r="L48" s="487"/>
      <c r="M48" s="487"/>
      <c r="N48" s="164"/>
      <c r="O48" s="445"/>
      <c r="P48" s="446"/>
      <c r="Q48" s="433" t="str">
        <f t="shared" si="1"/>
        <v/>
      </c>
      <c r="R48" s="433"/>
      <c r="S48" s="433"/>
      <c r="T48" s="432" t="str">
        <f t="shared" si="2"/>
        <v/>
      </c>
      <c r="U48" s="432"/>
      <c r="V48" s="432"/>
      <c r="W48" s="407"/>
      <c r="Y48" s="135"/>
      <c r="Z48" s="447" t="s">
        <v>404</v>
      </c>
      <c r="AA48" s="448"/>
      <c r="AB48" s="449"/>
      <c r="AC48" s="403">
        <f>SUM(AC43:AF47)/20</f>
        <v>0</v>
      </c>
      <c r="AD48" s="401"/>
      <c r="AE48" s="401"/>
      <c r="AF48" s="402"/>
      <c r="AG48" s="453"/>
      <c r="AH48" s="130"/>
    </row>
    <row r="49" spans="2:34" ht="15" customHeight="1" x14ac:dyDescent="0.25">
      <c r="B49" s="135"/>
      <c r="C49" s="163" t="s">
        <v>2881</v>
      </c>
      <c r="D49" s="486"/>
      <c r="E49" s="486"/>
      <c r="F49" s="486"/>
      <c r="G49" s="486"/>
      <c r="H49" s="486"/>
      <c r="I49" s="486"/>
      <c r="J49" s="487"/>
      <c r="K49" s="487"/>
      <c r="L49" s="487"/>
      <c r="M49" s="487"/>
      <c r="N49" s="164"/>
      <c r="O49" s="480"/>
      <c r="P49" s="480"/>
      <c r="Q49" s="433" t="str">
        <f t="shared" si="1"/>
        <v/>
      </c>
      <c r="R49" s="433"/>
      <c r="S49" s="433"/>
      <c r="T49" s="432" t="str">
        <f t="shared" si="2"/>
        <v/>
      </c>
      <c r="U49" s="432"/>
      <c r="V49" s="432"/>
      <c r="W49" s="407"/>
      <c r="Y49" s="135"/>
      <c r="Z49" s="434" t="s">
        <v>502</v>
      </c>
      <c r="AA49" s="435"/>
      <c r="AB49" s="436"/>
      <c r="AC49" s="90">
        <f t="shared" ref="AC49:AF53" si="4">IF(AND(INDEX($T$17:$U$23,MATCH($Z49,$O$17:$O$23,0),1)&lt;=AC$36,AC$36&lt;INDEX($T$17:$U$23,MATCH($Z49,$O$17:$O$23,0),2)),1,0)</f>
        <v>0</v>
      </c>
      <c r="AD49" s="23">
        <f t="shared" si="4"/>
        <v>0</v>
      </c>
      <c r="AE49" s="23">
        <f t="shared" si="4"/>
        <v>0</v>
      </c>
      <c r="AF49" s="24">
        <f t="shared" si="4"/>
        <v>0</v>
      </c>
      <c r="AG49" s="451" t="str">
        <f>T15</f>
        <v>&lt;Input Name&gt;</v>
      </c>
      <c r="AH49" s="130"/>
    </row>
    <row r="50" spans="2:34" ht="15" customHeight="1" x14ac:dyDescent="0.25">
      <c r="B50" s="135"/>
      <c r="C50" s="163" t="s">
        <v>2881</v>
      </c>
      <c r="D50" s="486"/>
      <c r="E50" s="486"/>
      <c r="F50" s="486"/>
      <c r="G50" s="486"/>
      <c r="H50" s="486"/>
      <c r="I50" s="486"/>
      <c r="J50" s="487"/>
      <c r="K50" s="487"/>
      <c r="L50" s="487"/>
      <c r="M50" s="487"/>
      <c r="N50" s="164"/>
      <c r="O50" s="480"/>
      <c r="P50" s="480"/>
      <c r="Q50" s="433" t="str">
        <f t="shared" si="1"/>
        <v/>
      </c>
      <c r="R50" s="433"/>
      <c r="S50" s="433"/>
      <c r="T50" s="432" t="str">
        <f t="shared" si="2"/>
        <v/>
      </c>
      <c r="U50" s="432"/>
      <c r="V50" s="432"/>
      <c r="W50" s="407"/>
      <c r="Y50" s="135"/>
      <c r="Z50" s="437" t="s">
        <v>503</v>
      </c>
      <c r="AA50" s="438"/>
      <c r="AB50" s="439"/>
      <c r="AC50" s="98">
        <f t="shared" si="4"/>
        <v>0</v>
      </c>
      <c r="AD50" s="25">
        <f t="shared" si="4"/>
        <v>0</v>
      </c>
      <c r="AE50" s="25">
        <f t="shared" si="4"/>
        <v>0</v>
      </c>
      <c r="AF50" s="26">
        <f t="shared" si="4"/>
        <v>0</v>
      </c>
      <c r="AG50" s="452"/>
      <c r="AH50" s="130"/>
    </row>
    <row r="51" spans="2:34" ht="15" customHeight="1" x14ac:dyDescent="0.25">
      <c r="B51" s="135"/>
      <c r="C51" s="163" t="s">
        <v>2881</v>
      </c>
      <c r="D51" s="486"/>
      <c r="E51" s="486"/>
      <c r="F51" s="486"/>
      <c r="G51" s="486"/>
      <c r="H51" s="486"/>
      <c r="I51" s="486"/>
      <c r="J51" s="487"/>
      <c r="K51" s="487"/>
      <c r="L51" s="487"/>
      <c r="M51" s="487"/>
      <c r="N51" s="164"/>
      <c r="O51" s="480"/>
      <c r="P51" s="480"/>
      <c r="Q51" s="433" t="str">
        <f t="shared" si="1"/>
        <v/>
      </c>
      <c r="R51" s="433"/>
      <c r="S51" s="433"/>
      <c r="T51" s="432" t="str">
        <f t="shared" si="2"/>
        <v/>
      </c>
      <c r="U51" s="432"/>
      <c r="V51" s="432"/>
      <c r="W51" s="407"/>
      <c r="Y51" s="135"/>
      <c r="Z51" s="437" t="s">
        <v>504</v>
      </c>
      <c r="AA51" s="438"/>
      <c r="AB51" s="439"/>
      <c r="AC51" s="98">
        <f t="shared" si="4"/>
        <v>0</v>
      </c>
      <c r="AD51" s="25">
        <f t="shared" si="4"/>
        <v>0</v>
      </c>
      <c r="AE51" s="25">
        <f t="shared" si="4"/>
        <v>0</v>
      </c>
      <c r="AF51" s="26">
        <f t="shared" si="4"/>
        <v>0</v>
      </c>
      <c r="AG51" s="452"/>
      <c r="AH51" s="130"/>
    </row>
    <row r="52" spans="2:34" ht="15" customHeight="1" x14ac:dyDescent="0.25">
      <c r="B52" s="135"/>
      <c r="C52" s="163" t="s">
        <v>2881</v>
      </c>
      <c r="D52" s="486"/>
      <c r="E52" s="486"/>
      <c r="F52" s="486"/>
      <c r="G52" s="486"/>
      <c r="H52" s="486"/>
      <c r="I52" s="486"/>
      <c r="J52" s="487"/>
      <c r="K52" s="487"/>
      <c r="L52" s="487"/>
      <c r="M52" s="487"/>
      <c r="N52" s="164"/>
      <c r="O52" s="480"/>
      <c r="P52" s="480"/>
      <c r="Q52" s="433" t="str">
        <f t="shared" si="1"/>
        <v/>
      </c>
      <c r="R52" s="433"/>
      <c r="S52" s="433"/>
      <c r="T52" s="432" t="str">
        <f t="shared" si="2"/>
        <v/>
      </c>
      <c r="U52" s="432"/>
      <c r="V52" s="432"/>
      <c r="W52" s="407"/>
      <c r="Y52" s="135"/>
      <c r="Z52" s="440" t="s">
        <v>505</v>
      </c>
      <c r="AA52" s="441"/>
      <c r="AB52" s="442"/>
      <c r="AC52" s="98">
        <f t="shared" si="4"/>
        <v>0</v>
      </c>
      <c r="AD52" s="25">
        <f t="shared" si="4"/>
        <v>0</v>
      </c>
      <c r="AE52" s="25">
        <f t="shared" si="4"/>
        <v>0</v>
      </c>
      <c r="AF52" s="26">
        <f t="shared" si="4"/>
        <v>0</v>
      </c>
      <c r="AG52" s="452"/>
      <c r="AH52" s="130"/>
    </row>
    <row r="53" spans="2:34" ht="15" customHeight="1" x14ac:dyDescent="0.25">
      <c r="B53" s="135"/>
      <c r="C53" s="163" t="s">
        <v>2881</v>
      </c>
      <c r="D53" s="486"/>
      <c r="E53" s="486"/>
      <c r="F53" s="486"/>
      <c r="G53" s="486"/>
      <c r="H53" s="486"/>
      <c r="I53" s="486"/>
      <c r="J53" s="487"/>
      <c r="K53" s="487"/>
      <c r="L53" s="487"/>
      <c r="M53" s="487"/>
      <c r="N53" s="164"/>
      <c r="O53" s="480"/>
      <c r="P53" s="480"/>
      <c r="Q53" s="433" t="str">
        <f t="shared" si="1"/>
        <v/>
      </c>
      <c r="R53" s="433"/>
      <c r="S53" s="433"/>
      <c r="T53" s="432" t="str">
        <f t="shared" si="2"/>
        <v/>
      </c>
      <c r="U53" s="432"/>
      <c r="V53" s="432"/>
      <c r="W53" s="407"/>
      <c r="Y53" s="135"/>
      <c r="Z53" s="440" t="s">
        <v>506</v>
      </c>
      <c r="AA53" s="441"/>
      <c r="AB53" s="442"/>
      <c r="AC53" s="98">
        <f t="shared" si="4"/>
        <v>0</v>
      </c>
      <c r="AD53" s="25">
        <f t="shared" si="4"/>
        <v>0</v>
      </c>
      <c r="AE53" s="25">
        <f t="shared" si="4"/>
        <v>0</v>
      </c>
      <c r="AF53" s="26">
        <f t="shared" si="4"/>
        <v>0</v>
      </c>
      <c r="AG53" s="452"/>
      <c r="AH53" s="130"/>
    </row>
    <row r="54" spans="2:34" ht="15" customHeight="1" thickBot="1" x14ac:dyDescent="0.3">
      <c r="B54" s="157"/>
      <c r="C54" s="163" t="s">
        <v>2881</v>
      </c>
      <c r="D54" s="486"/>
      <c r="E54" s="486"/>
      <c r="F54" s="486"/>
      <c r="G54" s="486"/>
      <c r="H54" s="486"/>
      <c r="I54" s="486"/>
      <c r="J54" s="487"/>
      <c r="K54" s="487"/>
      <c r="L54" s="487"/>
      <c r="M54" s="487"/>
      <c r="N54" s="164"/>
      <c r="O54" s="480"/>
      <c r="P54" s="480"/>
      <c r="Q54" s="433" t="str">
        <f t="shared" si="1"/>
        <v/>
      </c>
      <c r="R54" s="433"/>
      <c r="S54" s="433"/>
      <c r="T54" s="432" t="str">
        <f t="shared" si="2"/>
        <v/>
      </c>
      <c r="U54" s="432"/>
      <c r="V54" s="432"/>
      <c r="W54" s="407"/>
      <c r="Y54" s="135"/>
      <c r="Z54" s="447" t="s">
        <v>404</v>
      </c>
      <c r="AA54" s="448"/>
      <c r="AB54" s="449"/>
      <c r="AC54" s="403">
        <f>SUM(AC49:AF53)/20</f>
        <v>0</v>
      </c>
      <c r="AD54" s="401"/>
      <c r="AE54" s="401"/>
      <c r="AF54" s="402"/>
      <c r="AG54" s="453"/>
      <c r="AH54" s="130"/>
    </row>
    <row r="55" spans="2:34" ht="15" customHeight="1" x14ac:dyDescent="0.25">
      <c r="B55" s="157"/>
      <c r="C55" s="163" t="s">
        <v>2881</v>
      </c>
      <c r="D55" s="486"/>
      <c r="E55" s="486"/>
      <c r="F55" s="486"/>
      <c r="G55" s="486"/>
      <c r="H55" s="486"/>
      <c r="I55" s="486"/>
      <c r="J55" s="487"/>
      <c r="K55" s="487"/>
      <c r="L55" s="487"/>
      <c r="M55" s="487"/>
      <c r="N55" s="164"/>
      <c r="O55" s="480"/>
      <c r="P55" s="480"/>
      <c r="Q55" s="433" t="str">
        <f t="shared" si="1"/>
        <v/>
      </c>
      <c r="R55" s="433"/>
      <c r="S55" s="433"/>
      <c r="T55" s="432" t="str">
        <f t="shared" si="2"/>
        <v/>
      </c>
      <c r="U55" s="432"/>
      <c r="V55" s="432"/>
      <c r="W55" s="407"/>
      <c r="Y55" s="135"/>
      <c r="Z55" s="434" t="s">
        <v>502</v>
      </c>
      <c r="AA55" s="435"/>
      <c r="AB55" s="436"/>
      <c r="AC55" s="95">
        <f t="shared" ref="AC55:AF59" si="5">IF(AND(INDEX($V$17:$X$23,MATCH($Z49,$O$17:$O$23,0),1)&lt;=AC$36,AC$36&lt;INDEX($V$17:$X$23,MATCH($Z49,$O$17:$O$23,0),2)),1,0)</f>
        <v>0</v>
      </c>
      <c r="AD55" s="23">
        <f t="shared" si="5"/>
        <v>0</v>
      </c>
      <c r="AE55" s="90">
        <f t="shared" si="5"/>
        <v>0</v>
      </c>
      <c r="AF55" s="91">
        <f t="shared" si="5"/>
        <v>0</v>
      </c>
      <c r="AG55" s="451" t="str">
        <f>V15</f>
        <v>&lt;Input Name&gt;</v>
      </c>
      <c r="AH55" s="130"/>
    </row>
    <row r="56" spans="2:34" ht="15" customHeight="1" x14ac:dyDescent="0.25">
      <c r="B56" s="157"/>
      <c r="C56" s="163" t="s">
        <v>2881</v>
      </c>
      <c r="D56" s="486"/>
      <c r="E56" s="486"/>
      <c r="F56" s="486"/>
      <c r="G56" s="486"/>
      <c r="H56" s="486"/>
      <c r="I56" s="486"/>
      <c r="J56" s="487"/>
      <c r="K56" s="487"/>
      <c r="L56" s="487"/>
      <c r="M56" s="487"/>
      <c r="N56" s="164"/>
      <c r="O56" s="480"/>
      <c r="P56" s="480"/>
      <c r="Q56" s="433" t="str">
        <f t="shared" si="1"/>
        <v/>
      </c>
      <c r="R56" s="433"/>
      <c r="S56" s="433"/>
      <c r="T56" s="432" t="str">
        <f t="shared" si="2"/>
        <v/>
      </c>
      <c r="U56" s="432"/>
      <c r="V56" s="432"/>
      <c r="W56" s="407"/>
      <c r="Y56" s="135"/>
      <c r="Z56" s="437" t="s">
        <v>503</v>
      </c>
      <c r="AA56" s="438"/>
      <c r="AB56" s="439"/>
      <c r="AC56" s="96">
        <f t="shared" si="5"/>
        <v>0</v>
      </c>
      <c r="AD56" s="25">
        <f t="shared" si="5"/>
        <v>0</v>
      </c>
      <c r="AE56" s="98">
        <f t="shared" si="5"/>
        <v>0</v>
      </c>
      <c r="AF56" s="97">
        <f t="shared" si="5"/>
        <v>0</v>
      </c>
      <c r="AG56" s="452"/>
      <c r="AH56" s="130"/>
    </row>
    <row r="57" spans="2:34" ht="15" customHeight="1" x14ac:dyDescent="0.25">
      <c r="B57" s="157"/>
      <c r="C57" s="163" t="s">
        <v>2881</v>
      </c>
      <c r="D57" s="486"/>
      <c r="E57" s="486"/>
      <c r="F57" s="486"/>
      <c r="G57" s="486"/>
      <c r="H57" s="486"/>
      <c r="I57" s="486"/>
      <c r="J57" s="487"/>
      <c r="K57" s="487"/>
      <c r="L57" s="487"/>
      <c r="M57" s="487"/>
      <c r="N57" s="164"/>
      <c r="O57" s="480"/>
      <c r="P57" s="480"/>
      <c r="Q57" s="433" t="str">
        <f t="shared" si="1"/>
        <v/>
      </c>
      <c r="R57" s="433"/>
      <c r="S57" s="433"/>
      <c r="T57" s="432" t="str">
        <f t="shared" si="2"/>
        <v/>
      </c>
      <c r="U57" s="432"/>
      <c r="V57" s="432"/>
      <c r="W57" s="407"/>
      <c r="Y57" s="135"/>
      <c r="Z57" s="437" t="s">
        <v>504</v>
      </c>
      <c r="AA57" s="438"/>
      <c r="AB57" s="439"/>
      <c r="AC57" s="96">
        <f t="shared" si="5"/>
        <v>0</v>
      </c>
      <c r="AD57" s="25">
        <f t="shared" si="5"/>
        <v>0</v>
      </c>
      <c r="AE57" s="98">
        <f t="shared" si="5"/>
        <v>0</v>
      </c>
      <c r="AF57" s="97">
        <f t="shared" si="5"/>
        <v>0</v>
      </c>
      <c r="AG57" s="452"/>
      <c r="AH57" s="130"/>
    </row>
    <row r="58" spans="2:34" ht="15" customHeight="1" x14ac:dyDescent="0.25">
      <c r="B58" s="157"/>
      <c r="C58" s="163" t="s">
        <v>2881</v>
      </c>
      <c r="D58" s="486"/>
      <c r="E58" s="486"/>
      <c r="F58" s="486"/>
      <c r="G58" s="486"/>
      <c r="H58" s="486"/>
      <c r="I58" s="486"/>
      <c r="J58" s="487"/>
      <c r="K58" s="487"/>
      <c r="L58" s="487"/>
      <c r="M58" s="487"/>
      <c r="N58" s="164"/>
      <c r="O58" s="480"/>
      <c r="P58" s="480"/>
      <c r="Q58" s="433" t="str">
        <f t="shared" si="1"/>
        <v/>
      </c>
      <c r="R58" s="433"/>
      <c r="S58" s="433"/>
      <c r="T58" s="432" t="str">
        <f t="shared" si="2"/>
        <v/>
      </c>
      <c r="U58" s="432"/>
      <c r="V58" s="432"/>
      <c r="W58" s="407"/>
      <c r="Y58" s="135"/>
      <c r="Z58" s="440" t="s">
        <v>505</v>
      </c>
      <c r="AA58" s="441"/>
      <c r="AB58" s="442"/>
      <c r="AC58" s="96">
        <f t="shared" si="5"/>
        <v>0</v>
      </c>
      <c r="AD58" s="25">
        <f t="shared" si="5"/>
        <v>0</v>
      </c>
      <c r="AE58" s="98">
        <f t="shared" si="5"/>
        <v>0</v>
      </c>
      <c r="AF58" s="97">
        <f t="shared" si="5"/>
        <v>0</v>
      </c>
      <c r="AG58" s="452"/>
      <c r="AH58" s="130"/>
    </row>
    <row r="59" spans="2:34" ht="15" customHeight="1" x14ac:dyDescent="0.25">
      <c r="B59" s="157"/>
      <c r="C59" s="163" t="s">
        <v>2881</v>
      </c>
      <c r="D59" s="486"/>
      <c r="E59" s="486"/>
      <c r="F59" s="486"/>
      <c r="G59" s="486"/>
      <c r="H59" s="486"/>
      <c r="I59" s="486"/>
      <c r="J59" s="487"/>
      <c r="K59" s="487"/>
      <c r="L59" s="487"/>
      <c r="M59" s="487"/>
      <c r="N59" s="164"/>
      <c r="O59" s="480"/>
      <c r="P59" s="480"/>
      <c r="Q59" s="433" t="str">
        <f t="shared" si="1"/>
        <v/>
      </c>
      <c r="R59" s="433"/>
      <c r="S59" s="433"/>
      <c r="T59" s="432" t="str">
        <f t="shared" si="2"/>
        <v/>
      </c>
      <c r="U59" s="432"/>
      <c r="V59" s="432"/>
      <c r="W59" s="407"/>
      <c r="Y59" s="135"/>
      <c r="Z59" s="440" t="s">
        <v>506</v>
      </c>
      <c r="AA59" s="441"/>
      <c r="AB59" s="442"/>
      <c r="AC59" s="96">
        <f t="shared" si="5"/>
        <v>0</v>
      </c>
      <c r="AD59" s="25">
        <f t="shared" si="5"/>
        <v>0</v>
      </c>
      <c r="AE59" s="98">
        <f t="shared" si="5"/>
        <v>0</v>
      </c>
      <c r="AF59" s="97">
        <f t="shared" si="5"/>
        <v>0</v>
      </c>
      <c r="AG59" s="452"/>
      <c r="AH59" s="130"/>
    </row>
    <row r="60" spans="2:34" ht="15" customHeight="1" thickBot="1" x14ac:dyDescent="0.3">
      <c r="B60" s="135"/>
      <c r="C60" s="163" t="s">
        <v>2881</v>
      </c>
      <c r="D60" s="486"/>
      <c r="E60" s="486"/>
      <c r="F60" s="486"/>
      <c r="G60" s="486"/>
      <c r="H60" s="486"/>
      <c r="I60" s="486"/>
      <c r="J60" s="487"/>
      <c r="K60" s="487"/>
      <c r="L60" s="487"/>
      <c r="M60" s="487"/>
      <c r="N60" s="164"/>
      <c r="O60" s="480"/>
      <c r="P60" s="480"/>
      <c r="Q60" s="433" t="str">
        <f t="shared" si="1"/>
        <v/>
      </c>
      <c r="R60" s="433"/>
      <c r="S60" s="433"/>
      <c r="T60" s="432" t="str">
        <f t="shared" si="2"/>
        <v/>
      </c>
      <c r="U60" s="432"/>
      <c r="V60" s="432"/>
      <c r="W60" s="407"/>
      <c r="Y60" s="135"/>
      <c r="Z60" s="447" t="s">
        <v>404</v>
      </c>
      <c r="AA60" s="448"/>
      <c r="AB60" s="449"/>
      <c r="AC60" s="403">
        <f>SUM(AC55:AF59)/20</f>
        <v>0</v>
      </c>
      <c r="AD60" s="401"/>
      <c r="AE60" s="401"/>
      <c r="AF60" s="402"/>
      <c r="AG60" s="453"/>
      <c r="AH60" s="130"/>
    </row>
    <row r="61" spans="2:34" ht="15" customHeight="1" thickBot="1" x14ac:dyDescent="0.3">
      <c r="B61" s="118"/>
      <c r="C61" s="158"/>
      <c r="D61" s="123"/>
      <c r="E61" s="123"/>
      <c r="F61" s="123"/>
      <c r="G61" s="123"/>
      <c r="H61" s="123"/>
      <c r="I61" s="123"/>
      <c r="J61" s="123"/>
      <c r="K61" s="123"/>
      <c r="L61" s="123"/>
      <c r="M61" s="123"/>
      <c r="N61" s="123"/>
      <c r="O61" s="123"/>
      <c r="P61" s="123"/>
      <c r="Q61" s="159"/>
      <c r="R61" s="123"/>
      <c r="S61" s="123"/>
      <c r="T61" s="123"/>
      <c r="U61" s="123"/>
      <c r="V61" s="123"/>
      <c r="W61" s="124"/>
      <c r="Y61" s="135"/>
      <c r="Z61" s="434" t="s">
        <v>502</v>
      </c>
      <c r="AA61" s="435"/>
      <c r="AB61" s="436"/>
      <c r="AC61" s="90">
        <f t="shared" ref="AC61:AF65" si="6">IF(AND(INDEX($Y$17:$AA$23,MATCH($Z61,$O$17:$O$23,0),1)&lt;=AC$36,AC$36&lt;INDEX($Y$17:$AA$23,MATCH($Z61,$O$17:$O$23,0),3)),1,0)</f>
        <v>0</v>
      </c>
      <c r="AD61" s="23">
        <f t="shared" si="6"/>
        <v>0</v>
      </c>
      <c r="AE61" s="23">
        <f t="shared" si="6"/>
        <v>0</v>
      </c>
      <c r="AF61" s="24">
        <f t="shared" si="6"/>
        <v>0</v>
      </c>
      <c r="AG61" s="451" t="str">
        <f>Y15</f>
        <v>&lt;Input Name&gt;</v>
      </c>
      <c r="AH61" s="130"/>
    </row>
    <row r="62" spans="2:34" ht="15" customHeight="1" x14ac:dyDescent="0.25">
      <c r="M62" s="104"/>
      <c r="N62" s="104"/>
      <c r="Y62" s="135"/>
      <c r="Z62" s="437" t="s">
        <v>503</v>
      </c>
      <c r="AA62" s="438"/>
      <c r="AB62" s="439"/>
      <c r="AC62" s="98">
        <f t="shared" si="6"/>
        <v>0</v>
      </c>
      <c r="AD62" s="25">
        <f t="shared" si="6"/>
        <v>0</v>
      </c>
      <c r="AE62" s="25">
        <f t="shared" si="6"/>
        <v>0</v>
      </c>
      <c r="AF62" s="26">
        <f t="shared" si="6"/>
        <v>0</v>
      </c>
      <c r="AG62" s="452"/>
      <c r="AH62" s="130"/>
    </row>
    <row r="63" spans="2:34" ht="15" customHeight="1" x14ac:dyDescent="0.25">
      <c r="Y63" s="135"/>
      <c r="Z63" s="437" t="s">
        <v>504</v>
      </c>
      <c r="AA63" s="438"/>
      <c r="AB63" s="439"/>
      <c r="AC63" s="98">
        <f t="shared" si="6"/>
        <v>0</v>
      </c>
      <c r="AD63" s="25">
        <f t="shared" si="6"/>
        <v>0</v>
      </c>
      <c r="AE63" s="25">
        <f t="shared" si="6"/>
        <v>0</v>
      </c>
      <c r="AF63" s="26">
        <f t="shared" si="6"/>
        <v>0</v>
      </c>
      <c r="AG63" s="452"/>
      <c r="AH63" s="130"/>
    </row>
    <row r="64" spans="2:34" ht="15" customHeight="1" x14ac:dyDescent="0.25">
      <c r="Y64" s="135"/>
      <c r="Z64" s="440" t="s">
        <v>505</v>
      </c>
      <c r="AA64" s="441"/>
      <c r="AB64" s="442"/>
      <c r="AC64" s="98">
        <f t="shared" si="6"/>
        <v>0</v>
      </c>
      <c r="AD64" s="25">
        <f t="shared" si="6"/>
        <v>0</v>
      </c>
      <c r="AE64" s="25">
        <f t="shared" si="6"/>
        <v>0</v>
      </c>
      <c r="AF64" s="26">
        <f t="shared" si="6"/>
        <v>0</v>
      </c>
      <c r="AG64" s="452"/>
      <c r="AH64" s="130"/>
    </row>
    <row r="65" spans="25:34" ht="15" customHeight="1" x14ac:dyDescent="0.25">
      <c r="Y65" s="135"/>
      <c r="Z65" s="440" t="s">
        <v>506</v>
      </c>
      <c r="AA65" s="441"/>
      <c r="AB65" s="442"/>
      <c r="AC65" s="98">
        <f t="shared" si="6"/>
        <v>0</v>
      </c>
      <c r="AD65" s="25">
        <f t="shared" si="6"/>
        <v>0</v>
      </c>
      <c r="AE65" s="25">
        <f t="shared" si="6"/>
        <v>0</v>
      </c>
      <c r="AF65" s="26">
        <f t="shared" si="6"/>
        <v>0</v>
      </c>
      <c r="AG65" s="452"/>
      <c r="AH65" s="130"/>
    </row>
    <row r="66" spans="25:34" ht="15" customHeight="1" thickBot="1" x14ac:dyDescent="0.3">
      <c r="Y66" s="135"/>
      <c r="Z66" s="447" t="s">
        <v>404</v>
      </c>
      <c r="AA66" s="448"/>
      <c r="AB66" s="449"/>
      <c r="AC66" s="403">
        <f>SUM(AC61:AF65)/20</f>
        <v>0</v>
      </c>
      <c r="AD66" s="401"/>
      <c r="AE66" s="401"/>
      <c r="AF66" s="402"/>
      <c r="AG66" s="453"/>
      <c r="AH66" s="130"/>
    </row>
    <row r="67" spans="25:34" ht="15" customHeight="1" x14ac:dyDescent="0.25">
      <c r="Y67" s="135"/>
      <c r="Z67" s="434" t="s">
        <v>502</v>
      </c>
      <c r="AA67" s="435"/>
      <c r="AB67" s="436"/>
      <c r="AC67" s="90">
        <f t="shared" ref="AC67:AF71" si="7">IF(AND(INDEX($AB$17:$AC$23,MATCH($Z67,$O$17:$O$23,0),1)&lt;=AC$36,AC$36&lt;INDEX($AB$17:$AC$23,MATCH($Z67,$O$17:$O$23,0),2)),1,0)</f>
        <v>0</v>
      </c>
      <c r="AD67" s="23">
        <f t="shared" si="7"/>
        <v>0</v>
      </c>
      <c r="AE67" s="23">
        <f t="shared" si="7"/>
        <v>0</v>
      </c>
      <c r="AF67" s="24">
        <f t="shared" si="7"/>
        <v>0</v>
      </c>
      <c r="AG67" s="451" t="str">
        <f>AB15</f>
        <v>&lt;Input Name&gt;</v>
      </c>
      <c r="AH67" s="130"/>
    </row>
    <row r="68" spans="25:34" ht="15" customHeight="1" x14ac:dyDescent="0.25">
      <c r="Y68" s="135"/>
      <c r="Z68" s="437" t="s">
        <v>503</v>
      </c>
      <c r="AA68" s="438"/>
      <c r="AB68" s="439"/>
      <c r="AC68" s="98">
        <f t="shared" si="7"/>
        <v>0</v>
      </c>
      <c r="AD68" s="25">
        <f t="shared" si="7"/>
        <v>0</v>
      </c>
      <c r="AE68" s="25">
        <f t="shared" si="7"/>
        <v>0</v>
      </c>
      <c r="AF68" s="26">
        <f t="shared" si="7"/>
        <v>0</v>
      </c>
      <c r="AG68" s="452"/>
      <c r="AH68" s="130"/>
    </row>
    <row r="69" spans="25:34" ht="15" customHeight="1" x14ac:dyDescent="0.25">
      <c r="Y69" s="135"/>
      <c r="Z69" s="437" t="s">
        <v>504</v>
      </c>
      <c r="AA69" s="438"/>
      <c r="AB69" s="439"/>
      <c r="AC69" s="98">
        <f t="shared" si="7"/>
        <v>0</v>
      </c>
      <c r="AD69" s="25">
        <f t="shared" si="7"/>
        <v>0</v>
      </c>
      <c r="AE69" s="25">
        <f t="shared" si="7"/>
        <v>0</v>
      </c>
      <c r="AF69" s="26">
        <f t="shared" si="7"/>
        <v>0</v>
      </c>
      <c r="AG69" s="452"/>
      <c r="AH69" s="130"/>
    </row>
    <row r="70" spans="25:34" ht="15" customHeight="1" x14ac:dyDescent="0.25">
      <c r="Y70" s="135"/>
      <c r="Z70" s="440" t="s">
        <v>505</v>
      </c>
      <c r="AA70" s="441"/>
      <c r="AB70" s="442"/>
      <c r="AC70" s="98">
        <f t="shared" si="7"/>
        <v>0</v>
      </c>
      <c r="AD70" s="25">
        <f t="shared" si="7"/>
        <v>0</v>
      </c>
      <c r="AE70" s="25">
        <f t="shared" si="7"/>
        <v>0</v>
      </c>
      <c r="AF70" s="26">
        <f t="shared" si="7"/>
        <v>0</v>
      </c>
      <c r="AG70" s="452"/>
      <c r="AH70" s="130"/>
    </row>
    <row r="71" spans="25:34" ht="15" customHeight="1" x14ac:dyDescent="0.25">
      <c r="Y71" s="135"/>
      <c r="Z71" s="440" t="s">
        <v>506</v>
      </c>
      <c r="AA71" s="441"/>
      <c r="AB71" s="442"/>
      <c r="AC71" s="98">
        <f t="shared" si="7"/>
        <v>0</v>
      </c>
      <c r="AD71" s="25">
        <f t="shared" si="7"/>
        <v>0</v>
      </c>
      <c r="AE71" s="25">
        <f t="shared" si="7"/>
        <v>0</v>
      </c>
      <c r="AF71" s="26">
        <f t="shared" si="7"/>
        <v>0</v>
      </c>
      <c r="AG71" s="452"/>
      <c r="AH71" s="130"/>
    </row>
    <row r="72" spans="25:34" ht="15" customHeight="1" thickBot="1" x14ac:dyDescent="0.3">
      <c r="Y72" s="135"/>
      <c r="Z72" s="447" t="s">
        <v>404</v>
      </c>
      <c r="AA72" s="448"/>
      <c r="AB72" s="449"/>
      <c r="AC72" s="403">
        <f>SUM(AC67:AF71)/20</f>
        <v>0</v>
      </c>
      <c r="AD72" s="401"/>
      <c r="AE72" s="401"/>
      <c r="AF72" s="402"/>
      <c r="AG72" s="453"/>
      <c r="AH72" s="130"/>
    </row>
    <row r="73" spans="25:34" ht="15" customHeight="1" x14ac:dyDescent="0.25">
      <c r="Y73" s="135"/>
      <c r="Z73" s="434" t="s">
        <v>502</v>
      </c>
      <c r="AA73" s="435"/>
      <c r="AB73" s="436"/>
      <c r="AC73" s="90">
        <f t="shared" ref="AC73:AF77" si="8">IF(AND(INDEX($AD$17:$AE$23,MATCH($Z73,$O$17:$O$23,0),1)&lt;=AC$36,AC$36&lt;INDEX($AD$17:$AE$23,MATCH($Z73,$O$17:$O$23,0),2)),1,0)</f>
        <v>0</v>
      </c>
      <c r="AD73" s="23">
        <f t="shared" si="8"/>
        <v>0</v>
      </c>
      <c r="AE73" s="23">
        <f t="shared" si="8"/>
        <v>0</v>
      </c>
      <c r="AF73" s="24">
        <f t="shared" si="8"/>
        <v>0</v>
      </c>
      <c r="AG73" s="451" t="str">
        <f>AD15</f>
        <v>&lt;Input Name&gt;</v>
      </c>
      <c r="AH73" s="130"/>
    </row>
    <row r="74" spans="25:34" ht="15" customHeight="1" x14ac:dyDescent="0.25">
      <c r="Y74" s="135"/>
      <c r="Z74" s="437" t="s">
        <v>503</v>
      </c>
      <c r="AA74" s="438"/>
      <c r="AB74" s="439"/>
      <c r="AC74" s="98">
        <f t="shared" si="8"/>
        <v>0</v>
      </c>
      <c r="AD74" s="25">
        <f t="shared" si="8"/>
        <v>0</v>
      </c>
      <c r="AE74" s="25">
        <f t="shared" si="8"/>
        <v>0</v>
      </c>
      <c r="AF74" s="26">
        <f t="shared" si="8"/>
        <v>0</v>
      </c>
      <c r="AG74" s="452"/>
      <c r="AH74" s="130"/>
    </row>
    <row r="75" spans="25:34" ht="15" customHeight="1" x14ac:dyDescent="0.25">
      <c r="Y75" s="135"/>
      <c r="Z75" s="437" t="s">
        <v>504</v>
      </c>
      <c r="AA75" s="438"/>
      <c r="AB75" s="439"/>
      <c r="AC75" s="98">
        <f t="shared" si="8"/>
        <v>0</v>
      </c>
      <c r="AD75" s="25">
        <f t="shared" si="8"/>
        <v>0</v>
      </c>
      <c r="AE75" s="25">
        <f t="shared" si="8"/>
        <v>0</v>
      </c>
      <c r="AF75" s="26">
        <f t="shared" si="8"/>
        <v>0</v>
      </c>
      <c r="AG75" s="452"/>
      <c r="AH75" s="130"/>
    </row>
    <row r="76" spans="25:34" ht="15" customHeight="1" x14ac:dyDescent="0.25">
      <c r="Y76" s="135"/>
      <c r="Z76" s="440" t="s">
        <v>505</v>
      </c>
      <c r="AA76" s="441"/>
      <c r="AB76" s="442"/>
      <c r="AC76" s="98">
        <f t="shared" si="8"/>
        <v>0</v>
      </c>
      <c r="AD76" s="25">
        <f t="shared" si="8"/>
        <v>0</v>
      </c>
      <c r="AE76" s="25">
        <f t="shared" si="8"/>
        <v>0</v>
      </c>
      <c r="AF76" s="26">
        <f t="shared" si="8"/>
        <v>0</v>
      </c>
      <c r="AG76" s="452"/>
      <c r="AH76" s="130"/>
    </row>
    <row r="77" spans="25:34" ht="15" customHeight="1" x14ac:dyDescent="0.25">
      <c r="Y77" s="135"/>
      <c r="Z77" s="440" t="s">
        <v>506</v>
      </c>
      <c r="AA77" s="441"/>
      <c r="AB77" s="442"/>
      <c r="AC77" s="98">
        <f t="shared" si="8"/>
        <v>0</v>
      </c>
      <c r="AD77" s="25">
        <f t="shared" si="8"/>
        <v>0</v>
      </c>
      <c r="AE77" s="25">
        <f t="shared" si="8"/>
        <v>0</v>
      </c>
      <c r="AF77" s="26">
        <f t="shared" si="8"/>
        <v>0</v>
      </c>
      <c r="AG77" s="452"/>
      <c r="AH77" s="130"/>
    </row>
    <row r="78" spans="25:34" ht="15" customHeight="1" thickBot="1" x14ac:dyDescent="0.3">
      <c r="Y78" s="135"/>
      <c r="Z78" s="447" t="s">
        <v>404</v>
      </c>
      <c r="AA78" s="448"/>
      <c r="AB78" s="449"/>
      <c r="AC78" s="403">
        <f>SUM(AC73:AF77)/20</f>
        <v>0</v>
      </c>
      <c r="AD78" s="401"/>
      <c r="AE78" s="401"/>
      <c r="AF78" s="402"/>
      <c r="AG78" s="453"/>
      <c r="AH78" s="130"/>
    </row>
    <row r="79" spans="25:34" ht="15" customHeight="1" thickBot="1" x14ac:dyDescent="0.3">
      <c r="Y79" s="118"/>
      <c r="Z79" s="123"/>
      <c r="AA79" s="123"/>
      <c r="AB79" s="123"/>
      <c r="AC79" s="123"/>
      <c r="AD79" s="123"/>
      <c r="AE79" s="123"/>
      <c r="AF79" s="123"/>
      <c r="AG79" s="123"/>
      <c r="AH79" s="124"/>
    </row>
    <row r="80" spans="25:3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sheetProtection password="C2D4" sheet="1" objects="1" scenarios="1"/>
  <mergeCells count="252">
    <mergeCell ref="AB24:AC24"/>
    <mergeCell ref="AD24:AE24"/>
    <mergeCell ref="V25:X25"/>
    <mergeCell ref="Y25:AA25"/>
    <mergeCell ref="AB25:AC25"/>
    <mergeCell ref="AD25:AE25"/>
    <mergeCell ref="R26:S26"/>
    <mergeCell ref="V26:X26"/>
    <mergeCell ref="Y26:AA26"/>
    <mergeCell ref="AB26:AC26"/>
    <mergeCell ref="AD26:AE26"/>
    <mergeCell ref="V24:X24"/>
    <mergeCell ref="Y24:AA24"/>
    <mergeCell ref="O37:Q37"/>
    <mergeCell ref="D18:E18"/>
    <mergeCell ref="F18:G18"/>
    <mergeCell ref="H18:J18"/>
    <mergeCell ref="Q46:S46"/>
    <mergeCell ref="T46:V46"/>
    <mergeCell ref="Q47:S47"/>
    <mergeCell ref="T47:V47"/>
    <mergeCell ref="P24:Q24"/>
    <mergeCell ref="P25:Q25"/>
    <mergeCell ref="P26:Q26"/>
    <mergeCell ref="T24:U24"/>
    <mergeCell ref="T25:U25"/>
    <mergeCell ref="T26:U26"/>
    <mergeCell ref="R25:S25"/>
    <mergeCell ref="R24:S24"/>
    <mergeCell ref="T27:U27"/>
    <mergeCell ref="D19:J19"/>
    <mergeCell ref="D20:J20"/>
    <mergeCell ref="D23:G23"/>
    <mergeCell ref="D24:G24"/>
    <mergeCell ref="D21:J21"/>
    <mergeCell ref="C27:J29"/>
    <mergeCell ref="J55:M55"/>
    <mergeCell ref="D44:I44"/>
    <mergeCell ref="J44:M44"/>
    <mergeCell ref="D45:I45"/>
    <mergeCell ref="J45:M45"/>
    <mergeCell ref="D46:I46"/>
    <mergeCell ref="J46:M46"/>
    <mergeCell ref="D47:I47"/>
    <mergeCell ref="J47:M47"/>
    <mergeCell ref="D48:I48"/>
    <mergeCell ref="J48:M48"/>
    <mergeCell ref="D49:I49"/>
    <mergeCell ref="J49:M49"/>
    <mergeCell ref="D50:I50"/>
    <mergeCell ref="J50:M50"/>
    <mergeCell ref="D51:I51"/>
    <mergeCell ref="J51:M51"/>
    <mergeCell ref="D52:I52"/>
    <mergeCell ref="D55:I55"/>
    <mergeCell ref="AD27:AE27"/>
    <mergeCell ref="AD28:AE28"/>
    <mergeCell ref="R27:S27"/>
    <mergeCell ref="R28:S28"/>
    <mergeCell ref="D25:E25"/>
    <mergeCell ref="I25:J25"/>
    <mergeCell ref="J53:M53"/>
    <mergeCell ref="J54:M54"/>
    <mergeCell ref="D26:E26"/>
    <mergeCell ref="J42:M42"/>
    <mergeCell ref="J39:M39"/>
    <mergeCell ref="J40:M40"/>
    <mergeCell ref="J41:M41"/>
    <mergeCell ref="O40:P40"/>
    <mergeCell ref="O41:P41"/>
    <mergeCell ref="D37:G37"/>
    <mergeCell ref="Q48:S48"/>
    <mergeCell ref="T48:V48"/>
    <mergeCell ref="Q49:S49"/>
    <mergeCell ref="D40:I40"/>
    <mergeCell ref="V27:X27"/>
    <mergeCell ref="Q45:S45"/>
    <mergeCell ref="T45:V45"/>
    <mergeCell ref="I26:J26"/>
    <mergeCell ref="C5:C6"/>
    <mergeCell ref="D5:F5"/>
    <mergeCell ref="H5:J5"/>
    <mergeCell ref="M5:O6"/>
    <mergeCell ref="D6:F6"/>
    <mergeCell ref="H6:J6"/>
    <mergeCell ref="D16:J16"/>
    <mergeCell ref="D17:F17"/>
    <mergeCell ref="B8:K9"/>
    <mergeCell ref="C11:J11"/>
    <mergeCell ref="D13:J13"/>
    <mergeCell ref="D14:J14"/>
    <mergeCell ref="M8:AH9"/>
    <mergeCell ref="AB15:AC15"/>
    <mergeCell ref="AD15:AE15"/>
    <mergeCell ref="AF15:AG15"/>
    <mergeCell ref="T15:U15"/>
    <mergeCell ref="V15:X15"/>
    <mergeCell ref="Y15:AA15"/>
    <mergeCell ref="N11:AG13"/>
    <mergeCell ref="P15:Q15"/>
    <mergeCell ref="R15:S15"/>
    <mergeCell ref="O60:P60"/>
    <mergeCell ref="O39:P39"/>
    <mergeCell ref="O49:P49"/>
    <mergeCell ref="O50:P50"/>
    <mergeCell ref="O51:P51"/>
    <mergeCell ref="O52:P52"/>
    <mergeCell ref="D60:I60"/>
    <mergeCell ref="J52:M52"/>
    <mergeCell ref="J60:M60"/>
    <mergeCell ref="D39:I39"/>
    <mergeCell ref="D56:I56"/>
    <mergeCell ref="D57:I57"/>
    <mergeCell ref="D43:I43"/>
    <mergeCell ref="J43:M43"/>
    <mergeCell ref="D41:I41"/>
    <mergeCell ref="D42:I42"/>
    <mergeCell ref="D58:I58"/>
    <mergeCell ref="D59:I59"/>
    <mergeCell ref="J56:M56"/>
    <mergeCell ref="J57:M57"/>
    <mergeCell ref="J58:M58"/>
    <mergeCell ref="J59:M59"/>
    <mergeCell ref="D53:I53"/>
    <mergeCell ref="D54:I54"/>
    <mergeCell ref="O57:P57"/>
    <mergeCell ref="O58:P58"/>
    <mergeCell ref="O59:P59"/>
    <mergeCell ref="T40:V40"/>
    <mergeCell ref="T41:V41"/>
    <mergeCell ref="T42:V42"/>
    <mergeCell ref="T43:V43"/>
    <mergeCell ref="Q40:S40"/>
    <mergeCell ref="Q41:S41"/>
    <mergeCell ref="Q42:S42"/>
    <mergeCell ref="Q43:S43"/>
    <mergeCell ref="Q44:S44"/>
    <mergeCell ref="T44:V44"/>
    <mergeCell ref="T57:V57"/>
    <mergeCell ref="Q58:S58"/>
    <mergeCell ref="T58:V58"/>
    <mergeCell ref="T49:V49"/>
    <mergeCell ref="Q50:S50"/>
    <mergeCell ref="T50:V50"/>
    <mergeCell ref="Q51:S51"/>
    <mergeCell ref="T51:V51"/>
    <mergeCell ref="Q52:S52"/>
    <mergeCell ref="O53:P53"/>
    <mergeCell ref="O54:P54"/>
    <mergeCell ref="Y16:Z16"/>
    <mergeCell ref="Y17:Z17"/>
    <mergeCell ref="Y18:Z18"/>
    <mergeCell ref="Y19:Z19"/>
    <mergeCell ref="Y20:Z20"/>
    <mergeCell ref="Y21:Z21"/>
    <mergeCell ref="Y22:Z22"/>
    <mergeCell ref="Y23:Z23"/>
    <mergeCell ref="T28:U28"/>
    <mergeCell ref="V28:X28"/>
    <mergeCell ref="C34:V35"/>
    <mergeCell ref="B31:W32"/>
    <mergeCell ref="W16:X16"/>
    <mergeCell ref="W17:X17"/>
    <mergeCell ref="W18:X18"/>
    <mergeCell ref="W19:X19"/>
    <mergeCell ref="W20:X20"/>
    <mergeCell ref="W21:X21"/>
    <mergeCell ref="W22:X22"/>
    <mergeCell ref="W23:X23"/>
    <mergeCell ref="P28:Q28"/>
    <mergeCell ref="P27:Q27"/>
    <mergeCell ref="Y28:AA28"/>
    <mergeCell ref="AB28:AC28"/>
    <mergeCell ref="Y27:AA27"/>
    <mergeCell ref="AG37:AG42"/>
    <mergeCell ref="AG43:AG48"/>
    <mergeCell ref="AG49:AG54"/>
    <mergeCell ref="AG55:AG60"/>
    <mergeCell ref="AG61:AG66"/>
    <mergeCell ref="AG67:AG72"/>
    <mergeCell ref="Z58:AB58"/>
    <mergeCell ref="Z59:AB59"/>
    <mergeCell ref="Z61:AB61"/>
    <mergeCell ref="Z62:AB62"/>
    <mergeCell ref="Z63:AB63"/>
    <mergeCell ref="Z64:AB64"/>
    <mergeCell ref="Z65:AB65"/>
    <mergeCell ref="Z66:AB66"/>
    <mergeCell ref="Z67:AB67"/>
    <mergeCell ref="Z68:AB68"/>
    <mergeCell ref="Z70:AB70"/>
    <mergeCell ref="Z71:AB71"/>
    <mergeCell ref="Z72:AB72"/>
    <mergeCell ref="Y31:AH32"/>
    <mergeCell ref="AB27:AC27"/>
    <mergeCell ref="AG73:AG78"/>
    <mergeCell ref="Z34:AG34"/>
    <mergeCell ref="Z37:AB37"/>
    <mergeCell ref="Z38:AB38"/>
    <mergeCell ref="Z39:AB39"/>
    <mergeCell ref="Z40:AB40"/>
    <mergeCell ref="Z41:AB41"/>
    <mergeCell ref="Z42:AB42"/>
    <mergeCell ref="Z35:AB36"/>
    <mergeCell ref="Z43:AB43"/>
    <mergeCell ref="Z44:AB44"/>
    <mergeCell ref="Z45:AB45"/>
    <mergeCell ref="Z46:AB46"/>
    <mergeCell ref="Z47:AB47"/>
    <mergeCell ref="Z48:AB48"/>
    <mergeCell ref="Z49:AB49"/>
    <mergeCell ref="Z50:AB50"/>
    <mergeCell ref="Z78:AB78"/>
    <mergeCell ref="Z52:AB52"/>
    <mergeCell ref="Z53:AB53"/>
    <mergeCell ref="Z54:AB54"/>
    <mergeCell ref="Z55:AB55"/>
    <mergeCell ref="Z56:AB56"/>
    <mergeCell ref="Z57:AB57"/>
    <mergeCell ref="T38:V39"/>
    <mergeCell ref="O42:P42"/>
    <mergeCell ref="O43:P43"/>
    <mergeCell ref="O44:P44"/>
    <mergeCell ref="O45:P45"/>
    <mergeCell ref="O46:P46"/>
    <mergeCell ref="O47:P47"/>
    <mergeCell ref="O48:P48"/>
    <mergeCell ref="Z69:AB69"/>
    <mergeCell ref="Z60:AB60"/>
    <mergeCell ref="Z51:AB51"/>
    <mergeCell ref="Q39:S39"/>
    <mergeCell ref="Q59:S59"/>
    <mergeCell ref="T59:V59"/>
    <mergeCell ref="Q60:S60"/>
    <mergeCell ref="T60:V60"/>
    <mergeCell ref="Q54:S54"/>
    <mergeCell ref="T54:V54"/>
    <mergeCell ref="Q55:S55"/>
    <mergeCell ref="T52:V52"/>
    <mergeCell ref="Q53:S53"/>
    <mergeCell ref="T53:V53"/>
    <mergeCell ref="O55:P55"/>
    <mergeCell ref="O56:P56"/>
    <mergeCell ref="T55:V55"/>
    <mergeCell ref="Q56:S56"/>
    <mergeCell ref="T56:V56"/>
    <mergeCell ref="Q57:S57"/>
    <mergeCell ref="Z73:AB73"/>
    <mergeCell ref="Z74:AB74"/>
    <mergeCell ref="Z75:AB75"/>
    <mergeCell ref="Z76:AB76"/>
    <mergeCell ref="Z77:AB77"/>
  </mergeCells>
  <conditionalFormatting sqref="D37 Q40:V60">
    <cfRule type="expression" dxfId="43" priority="38">
      <formula>$D$24="Retrofit"</formula>
    </cfRule>
  </conditionalFormatting>
  <conditionalFormatting sqref="P15:Q15 P27:R28 V15:AE15 R25:R26 V25:W26 Y25:Z26 V27:AA28 V16:W23 Y16:Y23 AA16:AE16 AA17:AA23 P16:S23">
    <cfRule type="expression" dxfId="42" priority="37">
      <formula>$I$26="Deemed"</formula>
    </cfRule>
  </conditionalFormatting>
  <conditionalFormatting sqref="H26">
    <cfRule type="expression" dxfId="41" priority="36">
      <formula>$I$26=""</formula>
    </cfRule>
  </conditionalFormatting>
  <conditionalFormatting sqref="I26:J26">
    <cfRule type="containsBlanks" dxfId="40" priority="35">
      <formula>LEN(TRIM(I26))=0</formula>
    </cfRule>
  </conditionalFormatting>
  <conditionalFormatting sqref="D40:I60 O37 D25">
    <cfRule type="expression" dxfId="39" priority="34">
      <formula>$D$24="Retrofit"</formula>
    </cfRule>
  </conditionalFormatting>
  <conditionalFormatting sqref="C18">
    <cfRule type="expression" dxfId="38" priority="33">
      <formula>$D$18=""</formula>
    </cfRule>
  </conditionalFormatting>
  <conditionalFormatting sqref="D18:E18">
    <cfRule type="containsBlanks" dxfId="37" priority="32">
      <formula>LEN(TRIM(D18))=0</formula>
    </cfRule>
  </conditionalFormatting>
  <conditionalFormatting sqref="C42:V60">
    <cfRule type="expression" dxfId="36" priority="149">
      <formula>$D$37="Building Area Method"</formula>
    </cfRule>
  </conditionalFormatting>
  <conditionalFormatting sqref="C23">
    <cfRule type="expression" dxfId="35" priority="153">
      <formula>$D$23=""</formula>
    </cfRule>
    <cfRule type="expression" dxfId="34" priority="154">
      <formula>AND($I$26="Deemed",$D$23="")</formula>
    </cfRule>
    <cfRule type="expression" dxfId="33" priority="155">
      <formula>AND($D$37="Building Area Method",$D$23="")</formula>
    </cfRule>
  </conditionalFormatting>
  <conditionalFormatting sqref="C25">
    <cfRule type="expression" dxfId="32" priority="156">
      <formula>AND($D$37="Building Area Method",$D$25="")</formula>
    </cfRule>
  </conditionalFormatting>
  <conditionalFormatting sqref="D23:G23">
    <cfRule type="containsBlanks" dxfId="31" priority="157">
      <formula>LEN(TRIM(D23))=0</formula>
    </cfRule>
    <cfRule type="expression" dxfId="30" priority="158">
      <formula>AND($I$26="Deemed",$D$23="")</formula>
    </cfRule>
    <cfRule type="expression" dxfId="29" priority="159">
      <formula>AND($D$37="Building Area Method",$D$23="")</formula>
    </cfRule>
  </conditionalFormatting>
  <conditionalFormatting sqref="D25:E25">
    <cfRule type="expression" dxfId="28" priority="160">
      <formula>AND($D$37="Building Area Method",$D$25="")</formula>
    </cfRule>
  </conditionalFormatting>
  <conditionalFormatting sqref="P24:Q24">
    <cfRule type="expression" dxfId="27" priority="28">
      <formula>$I$26="Deemed"</formula>
    </cfRule>
  </conditionalFormatting>
  <conditionalFormatting sqref="P25:Q25">
    <cfRule type="expression" dxfId="26" priority="27">
      <formula>$I$26="Deemed"</formula>
    </cfRule>
  </conditionalFormatting>
  <conditionalFormatting sqref="P26:Q26">
    <cfRule type="expression" dxfId="25" priority="26">
      <formula>$I$26="Deemed"</formula>
    </cfRule>
  </conditionalFormatting>
  <conditionalFormatting sqref="R24">
    <cfRule type="expression" dxfId="24" priority="25">
      <formula>$I$26="Deemed"</formula>
    </cfRule>
  </conditionalFormatting>
  <conditionalFormatting sqref="V24:W24">
    <cfRule type="expression" dxfId="23" priority="24">
      <formula>$I$26="Deemed"</formula>
    </cfRule>
  </conditionalFormatting>
  <conditionalFormatting sqref="Y24:Z24">
    <cfRule type="expression" dxfId="22" priority="23">
      <formula>$I$26="Deemed"</formula>
    </cfRule>
  </conditionalFormatting>
  <conditionalFormatting sqref="R26:S26 V26:AA26">
    <cfRule type="expression" dxfId="21" priority="20">
      <formula>R$25&gt;51</formula>
    </cfRule>
  </conditionalFormatting>
  <conditionalFormatting sqref="O40:O60">
    <cfRule type="expression" dxfId="20" priority="15">
      <formula>$D$24="Retrofit"</formula>
    </cfRule>
  </conditionalFormatting>
  <conditionalFormatting sqref="T15 T16:U23 T25:T28">
    <cfRule type="expression" dxfId="19" priority="14">
      <formula>$I$26="Deemed"</formula>
    </cfRule>
  </conditionalFormatting>
  <conditionalFormatting sqref="T24">
    <cfRule type="expression" dxfId="18" priority="13">
      <formula>$I$26="Deemed"</formula>
    </cfRule>
  </conditionalFormatting>
  <conditionalFormatting sqref="T26:U26">
    <cfRule type="expression" dxfId="17" priority="12">
      <formula>T$25&gt;51</formula>
    </cfRule>
  </conditionalFormatting>
  <conditionalFormatting sqref="AB26:AB28">
    <cfRule type="expression" dxfId="16" priority="11">
      <formula>$I$26="Deemed"</formula>
    </cfRule>
  </conditionalFormatting>
  <conditionalFormatting sqref="AB26:AC26">
    <cfRule type="expression" dxfId="15" priority="9">
      <formula>AB$25&gt;51</formula>
    </cfRule>
  </conditionalFormatting>
  <conditionalFormatting sqref="AD26:AD28">
    <cfRule type="expression" dxfId="14" priority="8">
      <formula>$I$26="Deemed"</formula>
    </cfRule>
  </conditionalFormatting>
  <conditionalFormatting sqref="AD26:AE26">
    <cfRule type="expression" dxfId="13" priority="6">
      <formula>AD$25&gt;51</formula>
    </cfRule>
  </conditionalFormatting>
  <conditionalFormatting sqref="R15">
    <cfRule type="expression" dxfId="12" priority="5">
      <formula>$I$26="Deemed"</formula>
    </cfRule>
  </conditionalFormatting>
  <conditionalFormatting sqref="AB17:AC23 AB25">
    <cfRule type="expression" dxfId="11" priority="4">
      <formula>$I$26="Deemed"</formula>
    </cfRule>
  </conditionalFormatting>
  <conditionalFormatting sqref="AB24">
    <cfRule type="expression" dxfId="10" priority="3">
      <formula>$I$26="Deemed"</formula>
    </cfRule>
  </conditionalFormatting>
  <conditionalFormatting sqref="AD17:AE23 AD25">
    <cfRule type="expression" dxfId="9" priority="2">
      <formula>$I$26="Deemed"</formula>
    </cfRule>
  </conditionalFormatting>
  <conditionalFormatting sqref="AD24">
    <cfRule type="expression" dxfId="8" priority="1">
      <formula>$I$26="Deemed"</formula>
    </cfRule>
  </conditionalFormatting>
  <dataValidations count="11">
    <dataValidation type="list" allowBlank="1" showInputMessage="1" showErrorMessage="1" sqref="I26:J26">
      <formula1>"Custom,Deemed"</formula1>
    </dataValidation>
    <dataValidation type="list" allowBlank="1" showInputMessage="1" showErrorMessage="1" sqref="D37">
      <formula1>"Space by Space Method, Building Area Method"</formula1>
    </dataValidation>
    <dataValidation type="list" allowBlank="1" showInputMessage="1" showErrorMessage="1" sqref="I25:J25">
      <formula1>"Electric,Non-Electric,Unknown"</formula1>
    </dataValidation>
    <dataValidation type="list" allowBlank="1" showInputMessage="1" showErrorMessage="1" sqref="D18">
      <formula1>"Duquesne, PECO, PPL, Met-Ed, Penelec, Penn Power, W. Penn Power"</formula1>
    </dataValidation>
    <dataValidation type="list" allowBlank="1" showInputMessage="1" showErrorMessage="1" sqref="D24">
      <formula1>"New Construction, Retrofit"</formula1>
    </dataValidation>
    <dataValidation type="decimal" allowBlank="1" showInputMessage="1" showErrorMessage="1" prompt="Input time in 24-hr format" sqref="R17:W23 Y17:Y23 AA17:AE23">
      <formula1>0</formula1>
      <formula2>24</formula2>
    </dataValidation>
    <dataValidation type="list" allowBlank="1" showInputMessage="1" showErrorMessage="1" sqref="J41:J60">
      <formula1>Schedules</formula1>
    </dataValidation>
    <dataValidation type="whole" allowBlank="1" showInputMessage="1" showErrorMessage="1" prompt="Input number of holidays this schedule observes annually." sqref="R24 T24 V24:AB24 AD24">
      <formula1>0</formula1>
      <formula2>365</formula2>
    </dataValidation>
    <dataValidation type="whole" allowBlank="1" showInputMessage="1" showErrorMessage="1" prompt="Input number of weeks this schedule is operational." sqref="R25:AE25">
      <formula1>0</formula1>
      <formula2>52</formula2>
    </dataValidation>
    <dataValidation type="decimal" allowBlank="1" showInputMessage="1" showErrorMessage="1" prompt="Input the number of unoccupied weeks that occur within the months of June, July, and August." sqref="R26:AE26">
      <formula1>0</formula1>
      <formula2>13</formula2>
    </dataValidation>
    <dataValidation allowBlank="1" showInputMessage="1" showErrorMessage="1" prompt="Provide a name for your custom schedule." sqref="R15:AE15"/>
  </dataValidations>
  <pageMargins left="0.7" right="0.7" top="0.75" bottom="0.75" header="0.3" footer="0.3"/>
  <pageSetup scale="2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[1]Lookups!#REF!</xm:f>
          </x14:formula1>
          <xm:sqref>N40</xm:sqref>
        </x14:dataValidation>
        <x14:dataValidation type="list" allowBlank="1" showInputMessage="1" showErrorMessage="1">
          <x14:formula1>
            <xm:f>Lookups!$L$8:$L$12</xm:f>
          </x14:formula1>
          <xm:sqref>N41:N60</xm:sqref>
        </x14:dataValidation>
        <x14:dataValidation type="list" allowBlank="1" showInputMessage="1" showErrorMessage="1">
          <x14:formula1>
            <xm:f>Lookups!$B$31:$B$142</xm:f>
          </x14:formula1>
          <xm:sqref>D40:I60</xm:sqref>
        </x14:dataValidation>
        <x14:dataValidation type="list" allowBlank="1" showInputMessage="1" showErrorMessage="1">
          <x14:formula1>
            <xm:f>Lookups!$E$31:$E$67</xm:f>
          </x14:formula1>
          <xm:sqref>D23:G23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I82"/>
  <sheetViews>
    <sheetView showGridLines="0" zoomScale="80" zoomScaleNormal="80" workbookViewId="0">
      <pane ySplit="12" topLeftCell="A13" activePane="bottomLeft" state="frozen"/>
      <selection pane="bottomLeft"/>
    </sheetView>
  </sheetViews>
  <sheetFormatPr defaultColWidth="9.140625" defaultRowHeight="15" x14ac:dyDescent="0.25"/>
  <cols>
    <col min="1" max="1" width="3.7109375" style="197" customWidth="1"/>
    <col min="2" max="2" width="5.7109375" style="168" customWidth="1"/>
    <col min="3" max="3" width="25.7109375" style="168" customWidth="1"/>
    <col min="4" max="4" width="22.7109375" style="168" customWidth="1"/>
    <col min="5" max="32" width="10.7109375" style="172" customWidth="1"/>
    <col min="33" max="35" width="15.7109375" style="203" customWidth="1"/>
    <col min="36" max="16384" width="9.140625" style="168"/>
  </cols>
  <sheetData>
    <row r="1" spans="1:35" ht="15" customHeight="1" x14ac:dyDescent="0.25">
      <c r="A1" s="194"/>
      <c r="B1" s="104"/>
      <c r="C1" s="103"/>
      <c r="D1" s="103"/>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99"/>
      <c r="AH1" s="199"/>
      <c r="AI1" s="199"/>
    </row>
    <row r="2" spans="1:35" s="27" customFormat="1" ht="22.5" x14ac:dyDescent="0.35">
      <c r="A2" s="195"/>
      <c r="B2" s="3"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200"/>
      <c r="AH2" s="200"/>
      <c r="AI2" s="200"/>
    </row>
    <row r="3" spans="1:35" s="83" customFormat="1" ht="17.25" x14ac:dyDescent="0.25">
      <c r="A3" s="5"/>
      <c r="B3" s="7" t="s">
        <v>510</v>
      </c>
      <c r="C3" s="6"/>
      <c r="D3" s="6"/>
      <c r="E3" s="6"/>
      <c r="F3" s="6"/>
      <c r="G3" s="6"/>
      <c r="H3" s="6"/>
      <c r="I3" s="6"/>
      <c r="J3" s="6"/>
      <c r="K3" s="6"/>
      <c r="L3" s="6"/>
      <c r="M3" s="6"/>
      <c r="N3" s="6"/>
      <c r="O3" s="6"/>
      <c r="P3" s="6"/>
      <c r="Q3" s="6"/>
      <c r="R3" s="6"/>
      <c r="S3" s="6"/>
      <c r="T3" s="6"/>
      <c r="U3" s="6"/>
      <c r="V3" s="6"/>
      <c r="W3" s="6"/>
      <c r="X3" s="6"/>
      <c r="Y3" s="6"/>
      <c r="Z3" s="5"/>
      <c r="AA3" s="5"/>
      <c r="AB3" s="5"/>
      <c r="AC3" s="5"/>
      <c r="AD3" s="5"/>
      <c r="AE3" s="5"/>
      <c r="AF3" s="5"/>
      <c r="AG3" s="201"/>
      <c r="AH3" s="201"/>
      <c r="AI3" s="201"/>
    </row>
    <row r="4" spans="1:35" ht="9.75" customHeight="1" thickBot="1" x14ac:dyDescent="0.3">
      <c r="A4" s="194"/>
      <c r="B4" s="104"/>
      <c r="C4" s="103"/>
      <c r="D4" s="103"/>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99"/>
      <c r="AH4" s="199"/>
      <c r="AI4" s="199"/>
    </row>
    <row r="5" spans="1:35" ht="15.75" thickBot="1" x14ac:dyDescent="0.3">
      <c r="A5" s="194"/>
      <c r="B5" s="104"/>
      <c r="C5" s="103"/>
      <c r="D5" s="103"/>
      <c r="E5" s="167"/>
      <c r="F5" s="167"/>
      <c r="G5" s="167"/>
      <c r="H5" s="167"/>
      <c r="I5" s="167"/>
      <c r="J5" s="167"/>
      <c r="K5" s="167"/>
      <c r="L5" s="167"/>
      <c r="M5" s="167"/>
      <c r="N5" s="167"/>
      <c r="O5" s="167"/>
      <c r="P5" s="167"/>
      <c r="Q5" s="167"/>
      <c r="R5" s="167"/>
      <c r="S5" s="167"/>
      <c r="T5" s="167"/>
      <c r="U5" s="167"/>
      <c r="V5" s="167"/>
      <c r="W5" s="167"/>
      <c r="X5" s="558" t="s">
        <v>511</v>
      </c>
      <c r="Y5" s="559"/>
      <c r="Z5" s="564" t="s">
        <v>512</v>
      </c>
      <c r="AA5" s="565"/>
      <c r="AB5" s="566"/>
      <c r="AC5" s="564" t="s">
        <v>513</v>
      </c>
      <c r="AD5" s="566"/>
      <c r="AE5" s="564" t="s">
        <v>98</v>
      </c>
      <c r="AF5" s="566"/>
      <c r="AG5" s="199"/>
      <c r="AH5" s="199"/>
      <c r="AI5" s="199"/>
    </row>
    <row r="6" spans="1:35" ht="46.5" thickTop="1" thickBot="1" x14ac:dyDescent="0.3">
      <c r="A6" s="194"/>
      <c r="B6" s="169"/>
      <c r="C6" s="169"/>
      <c r="D6" s="169"/>
      <c r="E6" s="567" t="s">
        <v>514</v>
      </c>
      <c r="F6" s="568"/>
      <c r="G6" s="568"/>
      <c r="H6" s="568"/>
      <c r="I6" s="569"/>
      <c r="J6" s="103"/>
      <c r="K6" s="567" t="s">
        <v>515</v>
      </c>
      <c r="L6" s="568"/>
      <c r="M6" s="568"/>
      <c r="N6" s="568"/>
      <c r="O6" s="569"/>
      <c r="P6" s="167"/>
      <c r="Q6" s="167"/>
      <c r="R6" s="167"/>
      <c r="S6" s="167"/>
      <c r="T6" s="167"/>
      <c r="U6" s="167"/>
      <c r="V6" s="167"/>
      <c r="W6" s="167"/>
      <c r="X6" s="560"/>
      <c r="Y6" s="561"/>
      <c r="Z6" s="186" t="s">
        <v>516</v>
      </c>
      <c r="AA6" s="187" t="s">
        <v>517</v>
      </c>
      <c r="AB6" s="188" t="s">
        <v>518</v>
      </c>
      <c r="AC6" s="189" t="s">
        <v>517</v>
      </c>
      <c r="AD6" s="188" t="s">
        <v>518</v>
      </c>
      <c r="AE6" s="189" t="s">
        <v>517</v>
      </c>
      <c r="AF6" s="188" t="s">
        <v>518</v>
      </c>
      <c r="AG6" s="199"/>
      <c r="AH6" s="199"/>
      <c r="AI6" s="199"/>
    </row>
    <row r="7" spans="1:35" ht="18" thickBot="1" x14ac:dyDescent="0.35">
      <c r="A7" s="196"/>
      <c r="B7" s="169"/>
      <c r="C7" s="169"/>
      <c r="D7" s="169"/>
      <c r="E7" s="170"/>
      <c r="F7" s="170"/>
      <c r="G7" s="170"/>
      <c r="H7" s="170"/>
      <c r="I7" s="170"/>
      <c r="J7" s="170"/>
      <c r="K7" s="170"/>
      <c r="L7" s="170"/>
      <c r="M7" s="171"/>
      <c r="N7" s="171"/>
      <c r="O7" s="171"/>
      <c r="P7" s="171"/>
      <c r="Q7" s="171"/>
      <c r="R7" s="171"/>
      <c r="S7" s="171"/>
      <c r="T7" s="171"/>
      <c r="U7" s="171"/>
      <c r="V7" s="171"/>
      <c r="W7" s="171"/>
      <c r="X7" s="562"/>
      <c r="Y7" s="563"/>
      <c r="Z7" s="190">
        <f t="shared" ref="Z7:AF7" si="0">SUM(Z13:Z82)</f>
        <v>0</v>
      </c>
      <c r="AA7" s="191">
        <f t="shared" si="0"/>
        <v>0</v>
      </c>
      <c r="AB7" s="411">
        <f t="shared" si="0"/>
        <v>0</v>
      </c>
      <c r="AC7" s="190">
        <f t="shared" si="0"/>
        <v>0</v>
      </c>
      <c r="AD7" s="411">
        <f t="shared" si="0"/>
        <v>0</v>
      </c>
      <c r="AE7" s="190">
        <f t="shared" si="0"/>
        <v>0</v>
      </c>
      <c r="AF7" s="411">
        <f t="shared" si="0"/>
        <v>0</v>
      </c>
      <c r="AG7" s="202"/>
      <c r="AH7" s="202"/>
      <c r="AI7" s="202"/>
    </row>
    <row r="8" spans="1:35" ht="9.75" customHeight="1" thickBot="1" x14ac:dyDescent="0.3">
      <c r="A8" s="194"/>
      <c r="B8" s="169"/>
      <c r="C8" s="169"/>
      <c r="D8" s="169"/>
      <c r="E8" s="170"/>
      <c r="F8" s="170"/>
      <c r="G8" s="170"/>
      <c r="H8" s="170"/>
      <c r="I8" s="170"/>
      <c r="J8" s="170"/>
      <c r="K8" s="170"/>
      <c r="L8" s="170"/>
      <c r="M8" s="167"/>
      <c r="N8" s="167"/>
      <c r="O8" s="167"/>
      <c r="P8" s="167"/>
      <c r="Q8" s="167"/>
      <c r="R8" s="167"/>
      <c r="S8" s="167"/>
      <c r="T8" s="167"/>
      <c r="U8" s="167"/>
      <c r="V8" s="167"/>
      <c r="W8" s="167"/>
      <c r="X8" s="167"/>
      <c r="Y8" s="167"/>
      <c r="Z8" s="167"/>
      <c r="AA8" s="167"/>
      <c r="AB8" s="167"/>
      <c r="AC8" s="167"/>
      <c r="AD8" s="167"/>
      <c r="AE8" s="167"/>
      <c r="AF8" s="167"/>
      <c r="AG8" s="199"/>
      <c r="AH8" s="199"/>
      <c r="AI8" s="199"/>
    </row>
    <row r="9" spans="1:35" ht="18" thickBot="1" x14ac:dyDescent="0.35">
      <c r="B9" s="169"/>
      <c r="C9" s="169"/>
      <c r="D9" s="169"/>
      <c r="E9" s="545" t="str">
        <f>IF('General Information'!D24="New Construction","",IF(SUM(A:A)&gt;0,"Your baseline has been adjusted per the EPACT 2005 and EISA 2007 efficacy standards phasing out magnetic ballasts and most T-12 bulbs.",""))</f>
        <v/>
      </c>
      <c r="F9" s="546"/>
      <c r="G9" s="546"/>
      <c r="H9" s="546"/>
      <c r="I9" s="546"/>
      <c r="J9" s="546"/>
      <c r="K9" s="546"/>
      <c r="L9" s="546"/>
      <c r="M9" s="546"/>
      <c r="N9" s="546"/>
      <c r="O9" s="546"/>
      <c r="P9" s="546"/>
      <c r="Q9" s="546"/>
      <c r="R9" s="546"/>
      <c r="S9" s="547"/>
      <c r="Z9" s="548" t="s">
        <v>519</v>
      </c>
      <c r="AA9" s="549"/>
      <c r="AB9" s="549"/>
      <c r="AC9" s="549"/>
      <c r="AD9" s="549"/>
      <c r="AE9" s="549"/>
      <c r="AF9" s="550"/>
    </row>
    <row r="10" spans="1:35" ht="15.75" thickBot="1" x14ac:dyDescent="0.3">
      <c r="B10" s="173"/>
      <c r="C10" s="173"/>
      <c r="D10" s="173"/>
      <c r="E10" s="551" t="s">
        <v>520</v>
      </c>
      <c r="F10" s="552"/>
      <c r="G10" s="552"/>
      <c r="H10" s="552"/>
      <c r="I10" s="553"/>
      <c r="J10" s="551" t="s">
        <v>521</v>
      </c>
      <c r="K10" s="552"/>
      <c r="L10" s="553"/>
      <c r="M10" s="551" t="s">
        <v>522</v>
      </c>
      <c r="N10" s="554"/>
      <c r="O10" s="554"/>
      <c r="P10" s="552"/>
      <c r="Q10" s="552"/>
      <c r="R10" s="552"/>
      <c r="S10" s="553"/>
      <c r="T10" s="555" t="s">
        <v>523</v>
      </c>
      <c r="U10" s="556"/>
      <c r="V10" s="556"/>
      <c r="W10" s="556"/>
      <c r="X10" s="556"/>
      <c r="Y10" s="557"/>
      <c r="Z10" s="551" t="s">
        <v>524</v>
      </c>
      <c r="AA10" s="552"/>
      <c r="AB10" s="553"/>
      <c r="AC10" s="551" t="s">
        <v>525</v>
      </c>
      <c r="AD10" s="553"/>
      <c r="AE10" s="551" t="s">
        <v>526</v>
      </c>
      <c r="AF10" s="553"/>
    </row>
    <row r="11" spans="1:35" ht="57" customHeight="1" x14ac:dyDescent="0.35">
      <c r="A11" s="198"/>
      <c r="B11" s="28" t="s">
        <v>527</v>
      </c>
      <c r="C11" s="29" t="s">
        <v>2880</v>
      </c>
      <c r="D11" s="30" t="s">
        <v>2953</v>
      </c>
      <c r="E11" s="28" t="s">
        <v>528</v>
      </c>
      <c r="F11" s="29" t="s">
        <v>529</v>
      </c>
      <c r="G11" s="29" t="s">
        <v>2952</v>
      </c>
      <c r="H11" s="29" t="s">
        <v>530</v>
      </c>
      <c r="I11" s="30" t="s">
        <v>531</v>
      </c>
      <c r="J11" s="28" t="str">
        <f>IF('General Information'!D24="New Construction","Wattage Allowance Per Unit","Fixture Code")</f>
        <v>Fixture Code</v>
      </c>
      <c r="K11" s="29" t="str">
        <f>IF('General Information'!D24="New Construction","Quantity of Units","Fixture Wattage")</f>
        <v>Fixture Wattage</v>
      </c>
      <c r="L11" s="30" t="str">
        <f>IF('General Information'!D24="New Construction","Allowable Power (Watts)","Line Item Wattage")</f>
        <v>Line Item Wattage</v>
      </c>
      <c r="M11" s="101" t="s">
        <v>528</v>
      </c>
      <c r="N11" s="29" t="s">
        <v>555</v>
      </c>
      <c r="O11" s="29" t="s">
        <v>532</v>
      </c>
      <c r="P11" s="29" t="s">
        <v>529</v>
      </c>
      <c r="Q11" s="29" t="s">
        <v>2952</v>
      </c>
      <c r="R11" s="29" t="s">
        <v>530</v>
      </c>
      <c r="S11" s="30" t="s">
        <v>531</v>
      </c>
      <c r="T11" s="28" t="s">
        <v>401</v>
      </c>
      <c r="U11" s="102" t="s">
        <v>404</v>
      </c>
      <c r="V11" s="29" t="s">
        <v>533</v>
      </c>
      <c r="W11" s="29" t="s">
        <v>534</v>
      </c>
      <c r="X11" s="29" t="s">
        <v>535</v>
      </c>
      <c r="Y11" s="30" t="s">
        <v>536</v>
      </c>
      <c r="Z11" s="192" t="s">
        <v>2951</v>
      </c>
      <c r="AA11" s="29" t="s">
        <v>517</v>
      </c>
      <c r="AB11" s="30" t="s">
        <v>518</v>
      </c>
      <c r="AC11" s="28" t="s">
        <v>517</v>
      </c>
      <c r="AD11" s="30" t="s">
        <v>518</v>
      </c>
      <c r="AE11" s="28" t="s">
        <v>517</v>
      </c>
      <c r="AF11" s="30" t="s">
        <v>518</v>
      </c>
      <c r="AG11" s="198" t="s">
        <v>2874</v>
      </c>
      <c r="AH11" s="198" t="s">
        <v>2875</v>
      </c>
      <c r="AI11" s="198" t="s">
        <v>2876</v>
      </c>
    </row>
    <row r="12" spans="1:35" x14ac:dyDescent="0.25">
      <c r="B12" s="31" t="s">
        <v>482</v>
      </c>
      <c r="C12" s="94" t="str">
        <f>IF('General Information'!D37="Building Area Method","Whole Facility","Example")</f>
        <v>Example</v>
      </c>
      <c r="D12" s="32" t="s">
        <v>484</v>
      </c>
      <c r="E12" s="33" t="s">
        <v>1841</v>
      </c>
      <c r="F12" s="34">
        <f t="shared" ref="F12:F13" si="1">IFERROR(VLOOKUP(E12,Wattage_Table,10,FALSE),"")</f>
        <v>227</v>
      </c>
      <c r="G12" s="34">
        <v>10</v>
      </c>
      <c r="H12" s="35">
        <f>IF(G12="","",G12*F12)</f>
        <v>2270</v>
      </c>
      <c r="I12" s="36" t="s">
        <v>538</v>
      </c>
      <c r="J12" s="33" t="str">
        <f>IFERROR(IF('General Information'!$D$24="New Construction",VLOOKUP(C12,Space_Type_Details,18,FALSE),VLOOKUP(E12,Wattage_Table,11,FALSE)),"")</f>
        <v>F82LHL</v>
      </c>
      <c r="K12" s="382">
        <f>IFERROR(IF('General Information'!$D$24="New Construction",VLOOKUP(C12,Space_Type_Details,13,FALSE),VLOOKUP(J12,Wattage_Table,10,FALSE)),"")</f>
        <v>160</v>
      </c>
      <c r="L12" s="37">
        <f>IFERROR(IF('General Information'!$D$24="New Construction",J12*K12,K12*G12),"")</f>
        <v>1600</v>
      </c>
      <c r="M12" s="38" t="s">
        <v>1331</v>
      </c>
      <c r="N12" s="34" t="str">
        <f t="shared" ref="N12:N13" si="2">IFERROR(VLOOKUP(M12,Wattage_Table,12,FALSE),"")</f>
        <v>General</v>
      </c>
      <c r="O12" s="34" t="s">
        <v>540</v>
      </c>
      <c r="P12" s="34">
        <f t="shared" ref="P12:P13" si="3">IFERROR(VLOOKUP(M12,Wattage_Table,10,FALSE),"")</f>
        <v>93</v>
      </c>
      <c r="Q12" s="34">
        <v>10</v>
      </c>
      <c r="R12" s="35">
        <f t="shared" ref="R12:R13" si="4">IF(P12="","",Q12*P12)</f>
        <v>930</v>
      </c>
      <c r="S12" s="36" t="s">
        <v>541</v>
      </c>
      <c r="T12" s="39">
        <v>2294</v>
      </c>
      <c r="U12" s="40">
        <v>0.48</v>
      </c>
      <c r="V12" s="41">
        <v>0.04</v>
      </c>
      <c r="W12" s="41">
        <v>0.23</v>
      </c>
      <c r="X12" s="41">
        <v>0</v>
      </c>
      <c r="Y12" s="42">
        <v>0.24</v>
      </c>
      <c r="Z12" s="43">
        <f>IFERROR((L12-R12)/1000,"")</f>
        <v>0.67</v>
      </c>
      <c r="AA12" s="41">
        <f>IFERROR(Z12*U12*(1+W12),"")</f>
        <v>0.39556799999999998</v>
      </c>
      <c r="AB12" s="37">
        <f>IFERROR(Z12*T12*(1+V12),"")</f>
        <v>1598.4592</v>
      </c>
      <c r="AC12" s="44">
        <f>IFERROR(R12/1000*(Y12-X12)*(1+W12)*U12,"")</f>
        <v>0.13177728</v>
      </c>
      <c r="AD12" s="37">
        <f>IFERROR(R12/1000*T12*(Y12-X12)*(1+V12),"")</f>
        <v>532.50163199999997</v>
      </c>
      <c r="AE12" s="44">
        <f>IFERROR(AA12+AC12,"")</f>
        <v>0.52734528000000003</v>
      </c>
      <c r="AF12" s="37">
        <f>IFERROR(AB12+AD12,"")</f>
        <v>2130.9608319999998</v>
      </c>
    </row>
    <row r="13" spans="1:35" x14ac:dyDescent="0.25">
      <c r="A13" s="197">
        <f>IF(E13&lt;&gt;J13,1,0)</f>
        <v>0</v>
      </c>
      <c r="B13" s="31">
        <v>1</v>
      </c>
      <c r="C13" s="174"/>
      <c r="D13" s="175"/>
      <c r="E13" s="176"/>
      <c r="F13" s="45" t="str">
        <f t="shared" si="1"/>
        <v/>
      </c>
      <c r="G13" s="180"/>
      <c r="H13" s="46" t="str">
        <f>IF(G13="","",G13*F13)</f>
        <v/>
      </c>
      <c r="I13" s="182"/>
      <c r="J13" s="47" t="str">
        <f>IFERROR(IF('General Information'!$D$24="New Construction",VLOOKUP(C13,Space_Type_Details,18,FALSE),VLOOKUP(E13,Wattage_Table,11,FALSE)),"")</f>
        <v/>
      </c>
      <c r="K13" s="383" t="str">
        <f>IFERROR(IF('General Information'!$D$24="New Construction",VLOOKUP(C13,Space_Type_Details,13,FALSE)/COUNTIF($C$13:$C$82,C13),VLOOKUP(J13,Wattage_Table,10,FALSE)),"")</f>
        <v/>
      </c>
      <c r="L13" s="48" t="str">
        <f>IFERROR(IF('General Information'!$D$24="New Construction",J13*K13,IF(G13="","",K13*G13)),"")</f>
        <v/>
      </c>
      <c r="M13" s="184"/>
      <c r="N13" s="45" t="str">
        <f t="shared" si="2"/>
        <v/>
      </c>
      <c r="O13" s="180"/>
      <c r="P13" s="45" t="str">
        <f t="shared" si="3"/>
        <v/>
      </c>
      <c r="Q13" s="180"/>
      <c r="R13" s="46" t="str">
        <f t="shared" si="4"/>
        <v/>
      </c>
      <c r="S13" s="182"/>
      <c r="T13" s="49" t="str">
        <f>IFERROR(IF(C13="","",IF(VLOOKUP(C13,Space_Type_Details,8,FALSE)="TRM",INDEX('General Information'!$AF$17:$AG$28,11,MATCH(N13,'General Information'!$AF$16:$AG$16,0)),HLOOKUP(VLOOKUP(C13,Space_Type_Details,8,FALSE),'General Information'!$P$15:$AG$28,13,FALSE))),"")</f>
        <v/>
      </c>
      <c r="U13" s="50" t="str">
        <f>IFERROR(IF(C13="","",IF(VLOOKUP(C13,Space_Type_Details,8,FALSE)="TRM",INDEX('General Information'!$AF$17:$AG$28,12,MATCH(N13,'General Information'!$AF$16:$AG$16,0)),HLOOKUP(VLOOKUP(C13,Space_Type_Details,8,FALSE),'General Information'!$P$15:$AG$28,14,FALSE))),"")</f>
        <v/>
      </c>
      <c r="V13" s="50" t="str">
        <f>IFERROR(VLOOKUP(INDEX(Space_Type_Details,MATCH('Lighting Inventory'!$C13,'General Information'!$C$40:$C$60,0),12),Lookups!$L$8:$N$12,2,FALSE),"")</f>
        <v/>
      </c>
      <c r="W13" s="50" t="str">
        <f>IFERROR(VLOOKUP(INDEX(Space_Type_Details,MATCH('Lighting Inventory'!$C13,'General Information'!$C$40:$C$60,0),12),Lookups!$L$8:$N$12,3,FALSE),"")</f>
        <v/>
      </c>
      <c r="X13" s="51" t="str">
        <f>IFERROR(IF(C13="","",IF('General Information'!$D$24="Retrofit",VLOOKUP('Lighting Inventory'!I13,SVG_Factors,2,FALSE),IF('General Information'!$D$24="New Construction",VLOOKUP(VLOOKUP('General Information'!$D$23,LPD_BuildingArea,5,FALSE),SVG_Factors_NC,3,FALSE),""))),"")</f>
        <v/>
      </c>
      <c r="Y13" s="52" t="str">
        <f t="shared" ref="Y13:Y76" si="5">IFERROR(IF(C13="","",VLOOKUP(S13,SVG_Factors,2,FALSE)),"")</f>
        <v/>
      </c>
      <c r="Z13" s="53" t="str">
        <f>IFERROR((L13-R13)/1000,"")</f>
        <v/>
      </c>
      <c r="AA13" s="51" t="str">
        <f>IFERROR(Z13*U13*(1+W13),"")</f>
        <v/>
      </c>
      <c r="AB13" s="54" t="str">
        <f>IFERROR(Z13*T13*(1+V13),"")</f>
        <v/>
      </c>
      <c r="AC13" s="55" t="str">
        <f>IFERROR(R13/1000*(Y13-X13)*(1+W13)*U13,"")</f>
        <v/>
      </c>
      <c r="AD13" s="54" t="str">
        <f>IFERROR(R13/1000*T13*(Y13-X13)*(1+V13),"")</f>
        <v/>
      </c>
      <c r="AE13" s="55" t="str">
        <f>IFERROR(AA13+AC13,"")</f>
        <v/>
      </c>
      <c r="AF13" s="54" t="str">
        <f>IFERROR(AB13+AD13,"")</f>
        <v/>
      </c>
      <c r="AG13" s="203">
        <f>IF(I13&lt;&gt;S13,R13,0)</f>
        <v>0</v>
      </c>
      <c r="AH13" s="203">
        <f t="shared" ref="AH13:AH76" si="6">IFERROR(VLOOKUP(E13,Wattage_Table,8,FALSE)*G13,0)</f>
        <v>0</v>
      </c>
      <c r="AI13" s="203">
        <f t="shared" ref="AI13:AI76" si="7">IFERROR(VLOOKUP(M13,Wattage_Table,8,FALSE)*Q13,0)</f>
        <v>0</v>
      </c>
    </row>
    <row r="14" spans="1:35" x14ac:dyDescent="0.25">
      <c r="A14" s="197">
        <f t="shared" ref="A14:A77" si="8">IF(E14&lt;&gt;J14,1,0)</f>
        <v>0</v>
      </c>
      <c r="B14" s="31">
        <v>2</v>
      </c>
      <c r="C14" s="174"/>
      <c r="D14" s="175"/>
      <c r="E14" s="176"/>
      <c r="F14" s="45" t="str">
        <f t="shared" ref="F14:F77" si="9">IFERROR(VLOOKUP(E14,Wattage_Table,10,FALSE),"")</f>
        <v/>
      </c>
      <c r="G14" s="180"/>
      <c r="H14" s="46" t="str">
        <f t="shared" ref="H14:H77" si="10">IF(G14="","",G14*F14)</f>
        <v/>
      </c>
      <c r="I14" s="182"/>
      <c r="J14" s="47" t="str">
        <f>IFERROR(IF('General Information'!$D$24="New Construction",VLOOKUP(C14,Space_Type_Details,18,FALSE),VLOOKUP(E14,Wattage_Table,11,FALSE)),"")</f>
        <v/>
      </c>
      <c r="K14" s="383" t="str">
        <f>IFERROR(IF('General Information'!$D$24="New Construction",VLOOKUP(C14,Space_Type_Details,13,FALSE)/COUNTIF($C$13:$C$82,C14),VLOOKUP(J14,Wattage_Table,10,FALSE)),"")</f>
        <v/>
      </c>
      <c r="L14" s="48" t="str">
        <f>IFERROR(IF('General Information'!$D$24="New Construction",J14*K14,IF(G14="","",K14*G14)),"")</f>
        <v/>
      </c>
      <c r="M14" s="184"/>
      <c r="N14" s="45" t="str">
        <f t="shared" ref="N14:N77" si="11">IFERROR(VLOOKUP(M14,Wattage_Table,12,FALSE),"")</f>
        <v/>
      </c>
      <c r="O14" s="180"/>
      <c r="P14" s="45" t="str">
        <f t="shared" ref="P14:P77" si="12">IFERROR(VLOOKUP(M14,Wattage_Table,10,FALSE),"")</f>
        <v/>
      </c>
      <c r="Q14" s="180"/>
      <c r="R14" s="46" t="str">
        <f t="shared" ref="R14:R77" si="13">IF(P14="","",Q14*P14)</f>
        <v/>
      </c>
      <c r="S14" s="182"/>
      <c r="T14" s="49" t="str">
        <f>IFERROR(IF(C14="","",IF(VLOOKUP(C14,Space_Type_Details,8,FALSE)="TRM",INDEX('General Information'!$AF$17:$AG$28,11,MATCH(N14,'General Information'!$AF$16:$AG$16,0)),HLOOKUP(VLOOKUP(C14,Space_Type_Details,8,FALSE),'General Information'!$P$15:$AG$28,13,FALSE))),"")</f>
        <v/>
      </c>
      <c r="U14" s="50" t="str">
        <f>IFERROR(IF(C14="","",IF(VLOOKUP(C14,Space_Type_Details,8,FALSE)="TRM",INDEX('General Information'!$AF$17:$AG$28,12,MATCH(N14,'General Information'!$AF$16:$AG$16,0)),HLOOKUP(VLOOKUP(C14,Space_Type_Details,8,FALSE),'General Information'!$P$15:$AG$28,14,FALSE))),"")</f>
        <v/>
      </c>
      <c r="V14" s="50" t="str">
        <f>IFERROR(VLOOKUP(INDEX(Space_Type_Details,MATCH('Lighting Inventory'!$C14,'General Information'!$C$40:$C$60,0),12),Lookups!$L$8:$N$12,2,FALSE),"")</f>
        <v/>
      </c>
      <c r="W14" s="50" t="str">
        <f>IFERROR(VLOOKUP(INDEX(Space_Type_Details,MATCH('Lighting Inventory'!$C14,'General Information'!$C$40:$C$60,0),12),Lookups!$L$8:$N$12,3,FALSE),"")</f>
        <v/>
      </c>
      <c r="X14" s="51" t="str">
        <f>IFERROR(IF(C14="","",IF('General Information'!$D$24="Retrofit",VLOOKUP('Lighting Inventory'!I14,SVG_Factors,2,FALSE),IF('General Information'!$D$24="New Construction",VLOOKUP(VLOOKUP('General Information'!$D$23,LPD_BuildingArea,5,FALSE),SVG_Factors_NC,3,FALSE),""))),"")</f>
        <v/>
      </c>
      <c r="Y14" s="52" t="str">
        <f t="shared" si="5"/>
        <v/>
      </c>
      <c r="Z14" s="53" t="str">
        <f t="shared" ref="Z14:Z77" si="14">IFERROR((L14-R14)/1000,"")</f>
        <v/>
      </c>
      <c r="AA14" s="51" t="str">
        <f t="shared" ref="AA14:AA77" si="15">IFERROR(Z14*U14*(1+W14),"")</f>
        <v/>
      </c>
      <c r="AB14" s="54" t="str">
        <f t="shared" ref="AB14:AB77" si="16">IFERROR(Z14*T14*(1+V14),"")</f>
        <v/>
      </c>
      <c r="AC14" s="55" t="str">
        <f t="shared" ref="AC14:AC77" si="17">IFERROR(R14/1000*(Y14-X14)*(1+W14)*U14,"")</f>
        <v/>
      </c>
      <c r="AD14" s="54" t="str">
        <f t="shared" ref="AD14:AD77" si="18">IFERROR(R14/1000*T14*(Y14-X14)*(1+V14),"")</f>
        <v/>
      </c>
      <c r="AE14" s="55" t="str">
        <f t="shared" ref="AE14:AE77" si="19">IFERROR(AA14+AC14,"")</f>
        <v/>
      </c>
      <c r="AF14" s="54" t="str">
        <f t="shared" ref="AF14:AF77" si="20">IFERROR(AB14+AD14,"")</f>
        <v/>
      </c>
      <c r="AG14" s="203">
        <f t="shared" ref="AG14:AG77" si="21">IF(I14&lt;&gt;S14,R14,0)</f>
        <v>0</v>
      </c>
      <c r="AH14" s="203">
        <f t="shared" si="6"/>
        <v>0</v>
      </c>
      <c r="AI14" s="203">
        <f t="shared" si="7"/>
        <v>0</v>
      </c>
    </row>
    <row r="15" spans="1:35" x14ac:dyDescent="0.25">
      <c r="A15" s="197">
        <f t="shared" si="8"/>
        <v>0</v>
      </c>
      <c r="B15" s="31">
        <v>3</v>
      </c>
      <c r="C15" s="174"/>
      <c r="D15" s="175"/>
      <c r="E15" s="176"/>
      <c r="F15" s="45" t="str">
        <f t="shared" si="9"/>
        <v/>
      </c>
      <c r="G15" s="180"/>
      <c r="H15" s="46" t="str">
        <f t="shared" si="10"/>
        <v/>
      </c>
      <c r="I15" s="182"/>
      <c r="J15" s="47" t="str">
        <f>IFERROR(IF('General Information'!$D$24="New Construction",VLOOKUP(C15,Space_Type_Details,18,FALSE),VLOOKUP(E15,Wattage_Table,11,FALSE)),"")</f>
        <v/>
      </c>
      <c r="K15" s="383" t="str">
        <f>IFERROR(IF('General Information'!$D$24="New Construction",VLOOKUP(C15,Space_Type_Details,13,FALSE)/COUNTIF($C$13:$C$82,C15),VLOOKUP(J15,Wattage_Table,10,FALSE)),"")</f>
        <v/>
      </c>
      <c r="L15" s="48" t="str">
        <f>IFERROR(IF('General Information'!$D$24="New Construction",J15*K15,IF(G15="","",K15*G15)),"")</f>
        <v/>
      </c>
      <c r="M15" s="184"/>
      <c r="N15" s="45" t="str">
        <f t="shared" si="11"/>
        <v/>
      </c>
      <c r="O15" s="180"/>
      <c r="P15" s="45" t="str">
        <f t="shared" si="12"/>
        <v/>
      </c>
      <c r="Q15" s="180"/>
      <c r="R15" s="46" t="str">
        <f t="shared" si="13"/>
        <v/>
      </c>
      <c r="S15" s="182"/>
      <c r="T15" s="49" t="str">
        <f>IFERROR(IF(C15="","",IF(VLOOKUP(C15,Space_Type_Details,8,FALSE)="TRM",INDEX('General Information'!$AF$17:$AG$28,11,MATCH(N15,'General Information'!$AF$16:$AG$16,0)),HLOOKUP(VLOOKUP(C15,Space_Type_Details,8,FALSE),'General Information'!$P$15:$AG$28,13,FALSE))),"")</f>
        <v/>
      </c>
      <c r="U15" s="50" t="str">
        <f>IFERROR(IF(C15="","",IF(VLOOKUP(C15,Space_Type_Details,8,FALSE)="TRM",INDEX('General Information'!$AF$17:$AG$28,12,MATCH(N15,'General Information'!$AF$16:$AG$16,0)),HLOOKUP(VLOOKUP(C15,Space_Type_Details,8,FALSE),'General Information'!$P$15:$AG$28,14,FALSE))),"")</f>
        <v/>
      </c>
      <c r="V15" s="50" t="str">
        <f>IFERROR(VLOOKUP(INDEX(Space_Type_Details,MATCH('Lighting Inventory'!$C15,'General Information'!$C$40:$C$60,0),12),Lookups!$L$8:$N$12,2,FALSE),"")</f>
        <v/>
      </c>
      <c r="W15" s="50" t="str">
        <f>IFERROR(VLOOKUP(INDEX(Space_Type_Details,MATCH('Lighting Inventory'!$C15,'General Information'!$C$40:$C$60,0),12),Lookups!$L$8:$N$12,3,FALSE),"")</f>
        <v/>
      </c>
      <c r="X15" s="51" t="str">
        <f>IFERROR(IF(C15="","",IF('General Information'!$D$24="Retrofit",VLOOKUP('Lighting Inventory'!I15,SVG_Factors,2,FALSE),IF('General Information'!$D$24="New Construction",VLOOKUP(VLOOKUP('General Information'!$D$23,LPD_BuildingArea,5,FALSE),SVG_Factors_NC,3,FALSE),""))),"")</f>
        <v/>
      </c>
      <c r="Y15" s="52" t="str">
        <f t="shared" si="5"/>
        <v/>
      </c>
      <c r="Z15" s="53" t="str">
        <f t="shared" si="14"/>
        <v/>
      </c>
      <c r="AA15" s="51" t="str">
        <f t="shared" si="15"/>
        <v/>
      </c>
      <c r="AB15" s="54" t="str">
        <f t="shared" si="16"/>
        <v/>
      </c>
      <c r="AC15" s="55" t="str">
        <f t="shared" si="17"/>
        <v/>
      </c>
      <c r="AD15" s="54" t="str">
        <f t="shared" si="18"/>
        <v/>
      </c>
      <c r="AE15" s="55" t="str">
        <f t="shared" si="19"/>
        <v/>
      </c>
      <c r="AF15" s="54" t="str">
        <f t="shared" si="20"/>
        <v/>
      </c>
      <c r="AG15" s="203">
        <f t="shared" si="21"/>
        <v>0</v>
      </c>
      <c r="AH15" s="203">
        <f t="shared" si="6"/>
        <v>0</v>
      </c>
      <c r="AI15" s="203">
        <f t="shared" si="7"/>
        <v>0</v>
      </c>
    </row>
    <row r="16" spans="1:35" x14ac:dyDescent="0.25">
      <c r="A16" s="197">
        <f t="shared" si="8"/>
        <v>0</v>
      </c>
      <c r="B16" s="31">
        <v>4</v>
      </c>
      <c r="C16" s="174"/>
      <c r="D16" s="175"/>
      <c r="E16" s="176"/>
      <c r="F16" s="45" t="str">
        <f t="shared" si="9"/>
        <v/>
      </c>
      <c r="G16" s="180"/>
      <c r="H16" s="46" t="str">
        <f t="shared" si="10"/>
        <v/>
      </c>
      <c r="I16" s="182"/>
      <c r="J16" s="47" t="str">
        <f>IFERROR(IF('General Information'!$D$24="New Construction",VLOOKUP(C16,Space_Type_Details,18,FALSE),VLOOKUP(E16,Wattage_Table,11,FALSE)),"")</f>
        <v/>
      </c>
      <c r="K16" s="383" t="str">
        <f>IFERROR(IF('General Information'!$D$24="New Construction",VLOOKUP(C16,Space_Type_Details,13,FALSE)/COUNTIF($C$13:$C$82,C16),VLOOKUP(J16,Wattage_Table,10,FALSE)),"")</f>
        <v/>
      </c>
      <c r="L16" s="48" t="str">
        <f>IFERROR(IF('General Information'!$D$24="New Construction",J16*K16,IF(G16="","",K16*G16)),"")</f>
        <v/>
      </c>
      <c r="M16" s="184"/>
      <c r="N16" s="45" t="str">
        <f t="shared" si="11"/>
        <v/>
      </c>
      <c r="O16" s="180"/>
      <c r="P16" s="45" t="str">
        <f t="shared" si="12"/>
        <v/>
      </c>
      <c r="Q16" s="180"/>
      <c r="R16" s="46" t="str">
        <f t="shared" si="13"/>
        <v/>
      </c>
      <c r="S16" s="182"/>
      <c r="T16" s="49" t="str">
        <f>IFERROR(IF(C16="","",IF(VLOOKUP(C16,Space_Type_Details,8,FALSE)="TRM",INDEX('General Information'!$AF$17:$AG$28,11,MATCH(N16,'General Information'!$AF$16:$AG$16,0)),HLOOKUP(VLOOKUP(C16,Space_Type_Details,8,FALSE),'General Information'!$P$15:$AG$28,13,FALSE))),"")</f>
        <v/>
      </c>
      <c r="U16" s="50" t="str">
        <f>IFERROR(IF(C16="","",IF(VLOOKUP(C16,Space_Type_Details,8,FALSE)="TRM",INDEX('General Information'!$AF$17:$AG$28,12,MATCH(N16,'General Information'!$AF$16:$AG$16,0)),HLOOKUP(VLOOKUP(C16,Space_Type_Details,8,FALSE),'General Information'!$P$15:$AG$28,14,FALSE))),"")</f>
        <v/>
      </c>
      <c r="V16" s="50" t="str">
        <f>IFERROR(VLOOKUP(INDEX(Space_Type_Details,MATCH('Lighting Inventory'!$C16,'General Information'!$C$40:$C$60,0),12),Lookups!$L$8:$N$12,2,FALSE),"")</f>
        <v/>
      </c>
      <c r="W16" s="50" t="str">
        <f>IFERROR(VLOOKUP(INDEX(Space_Type_Details,MATCH('Lighting Inventory'!$C16,'General Information'!$C$40:$C$60,0),12),Lookups!$L$8:$N$12,3,FALSE),"")</f>
        <v/>
      </c>
      <c r="X16" s="51" t="str">
        <f>IFERROR(IF(C16="","",IF('General Information'!$D$24="Retrofit",VLOOKUP('Lighting Inventory'!I16,SVG_Factors,2,FALSE),IF('General Information'!$D$24="New Construction",VLOOKUP(VLOOKUP('General Information'!$D$23,LPD_BuildingArea,5,FALSE),SVG_Factors_NC,3,FALSE),""))),"")</f>
        <v/>
      </c>
      <c r="Y16" s="52" t="str">
        <f t="shared" si="5"/>
        <v/>
      </c>
      <c r="Z16" s="53" t="str">
        <f t="shared" si="14"/>
        <v/>
      </c>
      <c r="AA16" s="51" t="str">
        <f t="shared" si="15"/>
        <v/>
      </c>
      <c r="AB16" s="54" t="str">
        <f t="shared" si="16"/>
        <v/>
      </c>
      <c r="AC16" s="55" t="str">
        <f t="shared" si="17"/>
        <v/>
      </c>
      <c r="AD16" s="54" t="str">
        <f t="shared" si="18"/>
        <v/>
      </c>
      <c r="AE16" s="55" t="str">
        <f t="shared" si="19"/>
        <v/>
      </c>
      <c r="AF16" s="54" t="str">
        <f t="shared" si="20"/>
        <v/>
      </c>
      <c r="AG16" s="203">
        <f t="shared" si="21"/>
        <v>0</v>
      </c>
      <c r="AH16" s="203">
        <f t="shared" si="6"/>
        <v>0</v>
      </c>
      <c r="AI16" s="203">
        <f t="shared" si="7"/>
        <v>0</v>
      </c>
    </row>
    <row r="17" spans="1:35" x14ac:dyDescent="0.25">
      <c r="A17" s="197">
        <f t="shared" si="8"/>
        <v>0</v>
      </c>
      <c r="B17" s="31">
        <v>5</v>
      </c>
      <c r="C17" s="174"/>
      <c r="D17" s="175"/>
      <c r="E17" s="176"/>
      <c r="F17" s="45" t="str">
        <f t="shared" si="9"/>
        <v/>
      </c>
      <c r="G17" s="180"/>
      <c r="H17" s="46" t="str">
        <f t="shared" si="10"/>
        <v/>
      </c>
      <c r="I17" s="182"/>
      <c r="J17" s="47" t="str">
        <f>IFERROR(IF('General Information'!$D$24="New Construction",VLOOKUP(C17,Space_Type_Details,18,FALSE),VLOOKUP(E17,Wattage_Table,11,FALSE)),"")</f>
        <v/>
      </c>
      <c r="K17" s="383" t="str">
        <f>IFERROR(IF('General Information'!$D$24="New Construction",VLOOKUP(C17,Space_Type_Details,13,FALSE)/COUNTIF($C$13:$C$82,C17),VLOOKUP(J17,Wattage_Table,10,FALSE)),"")</f>
        <v/>
      </c>
      <c r="L17" s="48" t="str">
        <f>IFERROR(IF('General Information'!$D$24="New Construction",J17*K17,IF(G17="","",K17*G17)),"")</f>
        <v/>
      </c>
      <c r="M17" s="184"/>
      <c r="N17" s="45" t="str">
        <f t="shared" si="11"/>
        <v/>
      </c>
      <c r="O17" s="180"/>
      <c r="P17" s="45" t="str">
        <f t="shared" si="12"/>
        <v/>
      </c>
      <c r="Q17" s="180"/>
      <c r="R17" s="46" t="str">
        <f t="shared" si="13"/>
        <v/>
      </c>
      <c r="S17" s="182"/>
      <c r="T17" s="49" t="str">
        <f>IFERROR(IF(C17="","",IF(VLOOKUP(C17,Space_Type_Details,8,FALSE)="TRM",INDEX('General Information'!$AF$17:$AG$28,11,MATCH(N17,'General Information'!$AF$16:$AG$16,0)),HLOOKUP(VLOOKUP(C17,Space_Type_Details,8,FALSE),'General Information'!$P$15:$AG$28,13,FALSE))),"")</f>
        <v/>
      </c>
      <c r="U17" s="50" t="str">
        <f>IFERROR(IF(C17="","",IF(VLOOKUP(C17,Space_Type_Details,8,FALSE)="TRM",INDEX('General Information'!$AF$17:$AG$28,12,MATCH(N17,'General Information'!$AF$16:$AG$16,0)),HLOOKUP(VLOOKUP(C17,Space_Type_Details,8,FALSE),'General Information'!$P$15:$AG$28,14,FALSE))),"")</f>
        <v/>
      </c>
      <c r="V17" s="50" t="str">
        <f>IFERROR(VLOOKUP(INDEX(Space_Type_Details,MATCH('Lighting Inventory'!$C17,'General Information'!$C$40:$C$60,0),12),Lookups!$L$8:$N$12,2,FALSE),"")</f>
        <v/>
      </c>
      <c r="W17" s="50" t="str">
        <f>IFERROR(VLOOKUP(INDEX(Space_Type_Details,MATCH('Lighting Inventory'!$C17,'General Information'!$C$40:$C$60,0),12),Lookups!$L$8:$N$12,3,FALSE),"")</f>
        <v/>
      </c>
      <c r="X17" s="51" t="str">
        <f>IFERROR(IF(C17="","",IF('General Information'!$D$24="Retrofit",VLOOKUP('Lighting Inventory'!I17,SVG_Factors,2,FALSE),IF('General Information'!$D$24="New Construction",VLOOKUP(VLOOKUP('General Information'!$D$23,LPD_BuildingArea,5,FALSE),SVG_Factors_NC,3,FALSE),""))),"")</f>
        <v/>
      </c>
      <c r="Y17" s="52" t="str">
        <f t="shared" si="5"/>
        <v/>
      </c>
      <c r="Z17" s="53" t="str">
        <f t="shared" si="14"/>
        <v/>
      </c>
      <c r="AA17" s="51" t="str">
        <f t="shared" si="15"/>
        <v/>
      </c>
      <c r="AB17" s="54" t="str">
        <f t="shared" si="16"/>
        <v/>
      </c>
      <c r="AC17" s="55" t="str">
        <f t="shared" si="17"/>
        <v/>
      </c>
      <c r="AD17" s="54" t="str">
        <f t="shared" si="18"/>
        <v/>
      </c>
      <c r="AE17" s="55" t="str">
        <f t="shared" si="19"/>
        <v/>
      </c>
      <c r="AF17" s="54" t="str">
        <f t="shared" si="20"/>
        <v/>
      </c>
      <c r="AG17" s="203">
        <f t="shared" si="21"/>
        <v>0</v>
      </c>
      <c r="AH17" s="203">
        <f t="shared" si="6"/>
        <v>0</v>
      </c>
      <c r="AI17" s="203">
        <f t="shared" si="7"/>
        <v>0</v>
      </c>
    </row>
    <row r="18" spans="1:35" x14ac:dyDescent="0.25">
      <c r="A18" s="197">
        <f t="shared" si="8"/>
        <v>0</v>
      </c>
      <c r="B18" s="31">
        <v>6</v>
      </c>
      <c r="C18" s="174"/>
      <c r="D18" s="175"/>
      <c r="E18" s="176"/>
      <c r="F18" s="45" t="str">
        <f t="shared" si="9"/>
        <v/>
      </c>
      <c r="G18" s="180"/>
      <c r="H18" s="46" t="str">
        <f t="shared" si="10"/>
        <v/>
      </c>
      <c r="I18" s="182"/>
      <c r="J18" s="47" t="str">
        <f>IFERROR(IF('General Information'!$D$24="New Construction",VLOOKUP(C18,Space_Type_Details,18,FALSE),VLOOKUP(E18,Wattage_Table,11,FALSE)),"")</f>
        <v/>
      </c>
      <c r="K18" s="383" t="str">
        <f>IFERROR(IF('General Information'!$D$24="New Construction",VLOOKUP(C18,Space_Type_Details,13,FALSE)/COUNTIF($C$13:$C$82,C18),VLOOKUP(J18,Wattage_Table,10,FALSE)),"")</f>
        <v/>
      </c>
      <c r="L18" s="48" t="str">
        <f>IFERROR(IF('General Information'!$D$24="New Construction",J18*K18,IF(G18="","",K18*G18)),"")</f>
        <v/>
      </c>
      <c r="M18" s="184"/>
      <c r="N18" s="45" t="str">
        <f t="shared" si="11"/>
        <v/>
      </c>
      <c r="O18" s="180"/>
      <c r="P18" s="45" t="str">
        <f t="shared" si="12"/>
        <v/>
      </c>
      <c r="Q18" s="180"/>
      <c r="R18" s="46" t="str">
        <f t="shared" si="13"/>
        <v/>
      </c>
      <c r="S18" s="182"/>
      <c r="T18" s="49" t="str">
        <f>IFERROR(IF(C18="","",IF(VLOOKUP(C18,Space_Type_Details,8,FALSE)="TRM",INDEX('General Information'!$AF$17:$AG$28,11,MATCH(N18,'General Information'!$AF$16:$AG$16,0)),HLOOKUP(VLOOKUP(C18,Space_Type_Details,8,FALSE),'General Information'!$P$15:$AG$28,13,FALSE))),"")</f>
        <v/>
      </c>
      <c r="U18" s="50" t="str">
        <f>IFERROR(IF(C18="","",IF(VLOOKUP(C18,Space_Type_Details,8,FALSE)="TRM",INDEX('General Information'!$AF$17:$AG$28,12,MATCH(N18,'General Information'!$AF$16:$AG$16,0)),HLOOKUP(VLOOKUP(C18,Space_Type_Details,8,FALSE),'General Information'!$P$15:$AG$28,14,FALSE))),"")</f>
        <v/>
      </c>
      <c r="V18" s="50" t="str">
        <f>IFERROR(VLOOKUP(INDEX(Space_Type_Details,MATCH('Lighting Inventory'!$C18,'General Information'!$C$40:$C$60,0),12),Lookups!$L$8:$N$12,2,FALSE),"")</f>
        <v/>
      </c>
      <c r="W18" s="50" t="str">
        <f>IFERROR(VLOOKUP(INDEX(Space_Type_Details,MATCH('Lighting Inventory'!$C18,'General Information'!$C$40:$C$60,0),12),Lookups!$L$8:$N$12,3,FALSE),"")</f>
        <v/>
      </c>
      <c r="X18" s="51" t="str">
        <f>IFERROR(IF(C18="","",IF('General Information'!$D$24="Retrofit",VLOOKUP('Lighting Inventory'!I18,SVG_Factors,2,FALSE),IF('General Information'!$D$24="New Construction",VLOOKUP(VLOOKUP('General Information'!$D$23,LPD_BuildingArea,5,FALSE),SVG_Factors_NC,3,FALSE),""))),"")</f>
        <v/>
      </c>
      <c r="Y18" s="52" t="str">
        <f t="shared" si="5"/>
        <v/>
      </c>
      <c r="Z18" s="53" t="str">
        <f t="shared" si="14"/>
        <v/>
      </c>
      <c r="AA18" s="51" t="str">
        <f t="shared" si="15"/>
        <v/>
      </c>
      <c r="AB18" s="54" t="str">
        <f t="shared" si="16"/>
        <v/>
      </c>
      <c r="AC18" s="55" t="str">
        <f t="shared" si="17"/>
        <v/>
      </c>
      <c r="AD18" s="54" t="str">
        <f t="shared" si="18"/>
        <v/>
      </c>
      <c r="AE18" s="55" t="str">
        <f t="shared" si="19"/>
        <v/>
      </c>
      <c r="AF18" s="54" t="str">
        <f t="shared" si="20"/>
        <v/>
      </c>
      <c r="AG18" s="203">
        <f t="shared" si="21"/>
        <v>0</v>
      </c>
      <c r="AH18" s="203">
        <f t="shared" si="6"/>
        <v>0</v>
      </c>
      <c r="AI18" s="203">
        <f t="shared" si="7"/>
        <v>0</v>
      </c>
    </row>
    <row r="19" spans="1:35" x14ac:dyDescent="0.25">
      <c r="A19" s="197">
        <f t="shared" si="8"/>
        <v>0</v>
      </c>
      <c r="B19" s="31">
        <v>7</v>
      </c>
      <c r="C19" s="174"/>
      <c r="D19" s="175"/>
      <c r="E19" s="176"/>
      <c r="F19" s="45" t="str">
        <f t="shared" si="9"/>
        <v/>
      </c>
      <c r="G19" s="180"/>
      <c r="H19" s="46" t="str">
        <f t="shared" si="10"/>
        <v/>
      </c>
      <c r="I19" s="182"/>
      <c r="J19" s="47" t="str">
        <f>IFERROR(IF('General Information'!$D$24="New Construction",VLOOKUP(C19,Space_Type_Details,18,FALSE),VLOOKUP(E19,Wattage_Table,11,FALSE)),"")</f>
        <v/>
      </c>
      <c r="K19" s="383" t="str">
        <f>IFERROR(IF('General Information'!$D$24="New Construction",VLOOKUP(C19,Space_Type_Details,13,FALSE)/COUNTIF($C$13:$C$82,C19),VLOOKUP(J19,Wattage_Table,10,FALSE)),"")</f>
        <v/>
      </c>
      <c r="L19" s="48" t="str">
        <f>IFERROR(IF('General Information'!$D$24="New Construction",J19*K19,IF(G19="","",K19*G19)),"")</f>
        <v/>
      </c>
      <c r="M19" s="184"/>
      <c r="N19" s="45" t="str">
        <f t="shared" si="11"/>
        <v/>
      </c>
      <c r="O19" s="180"/>
      <c r="P19" s="45" t="str">
        <f t="shared" si="12"/>
        <v/>
      </c>
      <c r="Q19" s="180"/>
      <c r="R19" s="46" t="str">
        <f t="shared" si="13"/>
        <v/>
      </c>
      <c r="S19" s="182"/>
      <c r="T19" s="49" t="str">
        <f>IFERROR(IF(C19="","",IF(VLOOKUP(C19,Space_Type_Details,8,FALSE)="TRM",INDEX('General Information'!$AF$17:$AG$28,11,MATCH(N19,'General Information'!$AF$16:$AG$16,0)),HLOOKUP(VLOOKUP(C19,Space_Type_Details,8,FALSE),'General Information'!$P$15:$AG$28,13,FALSE))),"")</f>
        <v/>
      </c>
      <c r="U19" s="50" t="str">
        <f>IFERROR(IF(C19="","",IF(VLOOKUP(C19,Space_Type_Details,8,FALSE)="TRM",INDEX('General Information'!$AF$17:$AG$28,12,MATCH(N19,'General Information'!$AF$16:$AG$16,0)),HLOOKUP(VLOOKUP(C19,Space_Type_Details,8,FALSE),'General Information'!$P$15:$AG$28,14,FALSE))),"")</f>
        <v/>
      </c>
      <c r="V19" s="50" t="str">
        <f>IFERROR(VLOOKUP(INDEX(Space_Type_Details,MATCH('Lighting Inventory'!$C19,'General Information'!$C$40:$C$60,0),12),Lookups!$L$8:$N$12,2,FALSE),"")</f>
        <v/>
      </c>
      <c r="W19" s="50" t="str">
        <f>IFERROR(VLOOKUP(INDEX(Space_Type_Details,MATCH('Lighting Inventory'!$C19,'General Information'!$C$40:$C$60,0),12),Lookups!$L$8:$N$12,3,FALSE),"")</f>
        <v/>
      </c>
      <c r="X19" s="51" t="str">
        <f>IFERROR(IF(C19="","",IF('General Information'!$D$24="Retrofit",VLOOKUP('Lighting Inventory'!I19,SVG_Factors,2,FALSE),IF('General Information'!$D$24="New Construction",VLOOKUP(VLOOKUP('General Information'!$D$23,LPD_BuildingArea,5,FALSE),SVG_Factors_NC,3,FALSE),""))),"")</f>
        <v/>
      </c>
      <c r="Y19" s="52" t="str">
        <f t="shared" si="5"/>
        <v/>
      </c>
      <c r="Z19" s="53" t="str">
        <f t="shared" si="14"/>
        <v/>
      </c>
      <c r="AA19" s="51" t="str">
        <f t="shared" si="15"/>
        <v/>
      </c>
      <c r="AB19" s="54" t="str">
        <f t="shared" si="16"/>
        <v/>
      </c>
      <c r="AC19" s="55" t="str">
        <f t="shared" si="17"/>
        <v/>
      </c>
      <c r="AD19" s="54" t="str">
        <f t="shared" si="18"/>
        <v/>
      </c>
      <c r="AE19" s="55" t="str">
        <f t="shared" si="19"/>
        <v/>
      </c>
      <c r="AF19" s="54" t="str">
        <f t="shared" si="20"/>
        <v/>
      </c>
      <c r="AG19" s="203">
        <f t="shared" si="21"/>
        <v>0</v>
      </c>
      <c r="AH19" s="203">
        <f t="shared" si="6"/>
        <v>0</v>
      </c>
      <c r="AI19" s="203">
        <f t="shared" si="7"/>
        <v>0</v>
      </c>
    </row>
    <row r="20" spans="1:35" x14ac:dyDescent="0.25">
      <c r="A20" s="197">
        <f t="shared" si="8"/>
        <v>0</v>
      </c>
      <c r="B20" s="31">
        <v>8</v>
      </c>
      <c r="C20" s="174"/>
      <c r="D20" s="175"/>
      <c r="E20" s="176"/>
      <c r="F20" s="45" t="str">
        <f t="shared" si="9"/>
        <v/>
      </c>
      <c r="G20" s="180"/>
      <c r="H20" s="46" t="str">
        <f t="shared" si="10"/>
        <v/>
      </c>
      <c r="I20" s="182"/>
      <c r="J20" s="47" t="str">
        <f>IFERROR(IF('General Information'!$D$24="New Construction",VLOOKUP(C20,Space_Type_Details,18,FALSE),VLOOKUP(E20,Wattage_Table,11,FALSE)),"")</f>
        <v/>
      </c>
      <c r="K20" s="383" t="str">
        <f>IFERROR(IF('General Information'!$D$24="New Construction",VLOOKUP(C20,Space_Type_Details,13,FALSE)/COUNTIF($C$13:$C$82,C20),VLOOKUP(J20,Wattage_Table,10,FALSE)),"")</f>
        <v/>
      </c>
      <c r="L20" s="48" t="str">
        <f>IFERROR(IF('General Information'!$D$24="New Construction",J20*K20,IF(G20="","",K20*G20)),"")</f>
        <v/>
      </c>
      <c r="M20" s="184"/>
      <c r="N20" s="45" t="str">
        <f t="shared" si="11"/>
        <v/>
      </c>
      <c r="O20" s="180"/>
      <c r="P20" s="45" t="str">
        <f t="shared" si="12"/>
        <v/>
      </c>
      <c r="Q20" s="180"/>
      <c r="R20" s="46" t="str">
        <f t="shared" si="13"/>
        <v/>
      </c>
      <c r="S20" s="182"/>
      <c r="T20" s="49" t="str">
        <f>IFERROR(IF(C20="","",IF(VLOOKUP(C20,Space_Type_Details,8,FALSE)="TRM",INDEX('General Information'!$AF$17:$AG$28,11,MATCH(N20,'General Information'!$AF$16:$AG$16,0)),HLOOKUP(VLOOKUP(C20,Space_Type_Details,8,FALSE),'General Information'!$P$15:$AG$28,13,FALSE))),"")</f>
        <v/>
      </c>
      <c r="U20" s="50" t="str">
        <f>IFERROR(IF(C20="","",IF(VLOOKUP(C20,Space_Type_Details,8,FALSE)="TRM",INDEX('General Information'!$AF$17:$AG$28,12,MATCH(N20,'General Information'!$AF$16:$AG$16,0)),HLOOKUP(VLOOKUP(C20,Space_Type_Details,8,FALSE),'General Information'!$P$15:$AG$28,14,FALSE))),"")</f>
        <v/>
      </c>
      <c r="V20" s="50" t="str">
        <f>IFERROR(VLOOKUP(INDEX(Space_Type_Details,MATCH('Lighting Inventory'!$C20,'General Information'!$C$40:$C$60,0),12),Lookups!$L$8:$N$12,2,FALSE),"")</f>
        <v/>
      </c>
      <c r="W20" s="50" t="str">
        <f>IFERROR(VLOOKUP(INDEX(Space_Type_Details,MATCH('Lighting Inventory'!$C20,'General Information'!$C$40:$C$60,0),12),Lookups!$L$8:$N$12,3,FALSE),"")</f>
        <v/>
      </c>
      <c r="X20" s="51" t="str">
        <f>IFERROR(IF(C20="","",IF('General Information'!$D$24="Retrofit",VLOOKUP('Lighting Inventory'!I20,SVG_Factors,2,FALSE),IF('General Information'!$D$24="New Construction",VLOOKUP(VLOOKUP('General Information'!$D$23,LPD_BuildingArea,5,FALSE),SVG_Factors_NC,3,FALSE),""))),"")</f>
        <v/>
      </c>
      <c r="Y20" s="52" t="str">
        <f t="shared" si="5"/>
        <v/>
      </c>
      <c r="Z20" s="53" t="str">
        <f t="shared" si="14"/>
        <v/>
      </c>
      <c r="AA20" s="51" t="str">
        <f t="shared" si="15"/>
        <v/>
      </c>
      <c r="AB20" s="54" t="str">
        <f t="shared" si="16"/>
        <v/>
      </c>
      <c r="AC20" s="55" t="str">
        <f t="shared" si="17"/>
        <v/>
      </c>
      <c r="AD20" s="54" t="str">
        <f t="shared" si="18"/>
        <v/>
      </c>
      <c r="AE20" s="55" t="str">
        <f t="shared" si="19"/>
        <v/>
      </c>
      <c r="AF20" s="54" t="str">
        <f t="shared" si="20"/>
        <v/>
      </c>
      <c r="AG20" s="203">
        <f t="shared" si="21"/>
        <v>0</v>
      </c>
      <c r="AH20" s="203">
        <f t="shared" si="6"/>
        <v>0</v>
      </c>
      <c r="AI20" s="203">
        <f t="shared" si="7"/>
        <v>0</v>
      </c>
    </row>
    <row r="21" spans="1:35" x14ac:dyDescent="0.25">
      <c r="A21" s="197">
        <f t="shared" si="8"/>
        <v>0</v>
      </c>
      <c r="B21" s="31">
        <v>9</v>
      </c>
      <c r="C21" s="174"/>
      <c r="D21" s="175"/>
      <c r="E21" s="176"/>
      <c r="F21" s="45" t="str">
        <f t="shared" si="9"/>
        <v/>
      </c>
      <c r="G21" s="180"/>
      <c r="H21" s="46" t="str">
        <f t="shared" si="10"/>
        <v/>
      </c>
      <c r="I21" s="182"/>
      <c r="J21" s="47" t="str">
        <f>IFERROR(IF('General Information'!$D$24="New Construction",VLOOKUP(C21,Space_Type_Details,18,FALSE),VLOOKUP(E21,Wattage_Table,11,FALSE)),"")</f>
        <v/>
      </c>
      <c r="K21" s="383" t="str">
        <f>IFERROR(IF('General Information'!$D$24="New Construction",VLOOKUP(C21,Space_Type_Details,13,FALSE)/COUNTIF($C$13:$C$82,C21),VLOOKUP(J21,Wattage_Table,10,FALSE)),"")</f>
        <v/>
      </c>
      <c r="L21" s="48" t="str">
        <f>IFERROR(IF('General Information'!$D$24="New Construction",J21*K21,IF(G21="","",K21*G21)),"")</f>
        <v/>
      </c>
      <c r="M21" s="184"/>
      <c r="N21" s="45" t="str">
        <f t="shared" si="11"/>
        <v/>
      </c>
      <c r="O21" s="180"/>
      <c r="P21" s="45" t="str">
        <f t="shared" si="12"/>
        <v/>
      </c>
      <c r="Q21" s="180"/>
      <c r="R21" s="46" t="str">
        <f t="shared" si="13"/>
        <v/>
      </c>
      <c r="S21" s="182"/>
      <c r="T21" s="49" t="str">
        <f>IFERROR(IF(C21="","",IF(VLOOKUP(C21,Space_Type_Details,8,FALSE)="TRM",INDEX('General Information'!$AF$17:$AG$28,11,MATCH(N21,'General Information'!$AF$16:$AG$16,0)),HLOOKUP(VLOOKUP(C21,Space_Type_Details,8,FALSE),'General Information'!$P$15:$AG$28,13,FALSE))),"")</f>
        <v/>
      </c>
      <c r="U21" s="50" t="str">
        <f>IFERROR(IF(C21="","",IF(VLOOKUP(C21,Space_Type_Details,8,FALSE)="TRM",INDEX('General Information'!$AF$17:$AG$28,12,MATCH(N21,'General Information'!$AF$16:$AG$16,0)),HLOOKUP(VLOOKUP(C21,Space_Type_Details,8,FALSE),'General Information'!$P$15:$AG$28,14,FALSE))),"")</f>
        <v/>
      </c>
      <c r="V21" s="50" t="str">
        <f>IFERROR(VLOOKUP(INDEX(Space_Type_Details,MATCH('Lighting Inventory'!$C21,'General Information'!$C$40:$C$60,0),12),Lookups!$L$8:$N$12,2,FALSE),"")</f>
        <v/>
      </c>
      <c r="W21" s="50" t="str">
        <f>IFERROR(VLOOKUP(INDEX(Space_Type_Details,MATCH('Lighting Inventory'!$C21,'General Information'!$C$40:$C$60,0),12),Lookups!$L$8:$N$12,3,FALSE),"")</f>
        <v/>
      </c>
      <c r="X21" s="51" t="str">
        <f>IFERROR(IF(C21="","",IF('General Information'!$D$24="Retrofit",VLOOKUP('Lighting Inventory'!I21,SVG_Factors,2,FALSE),IF('General Information'!$D$24="New Construction",VLOOKUP(VLOOKUP('General Information'!$D$23,LPD_BuildingArea,5,FALSE),SVG_Factors_NC,3,FALSE),""))),"")</f>
        <v/>
      </c>
      <c r="Y21" s="52" t="str">
        <f t="shared" si="5"/>
        <v/>
      </c>
      <c r="Z21" s="53" t="str">
        <f t="shared" si="14"/>
        <v/>
      </c>
      <c r="AA21" s="51" t="str">
        <f t="shared" si="15"/>
        <v/>
      </c>
      <c r="AB21" s="54" t="str">
        <f t="shared" si="16"/>
        <v/>
      </c>
      <c r="AC21" s="55" t="str">
        <f t="shared" si="17"/>
        <v/>
      </c>
      <c r="AD21" s="54" t="str">
        <f t="shared" si="18"/>
        <v/>
      </c>
      <c r="AE21" s="55" t="str">
        <f t="shared" si="19"/>
        <v/>
      </c>
      <c r="AF21" s="54" t="str">
        <f t="shared" si="20"/>
        <v/>
      </c>
      <c r="AG21" s="203">
        <f t="shared" si="21"/>
        <v>0</v>
      </c>
      <c r="AH21" s="203">
        <f t="shared" si="6"/>
        <v>0</v>
      </c>
      <c r="AI21" s="203">
        <f t="shared" si="7"/>
        <v>0</v>
      </c>
    </row>
    <row r="22" spans="1:35" x14ac:dyDescent="0.25">
      <c r="A22" s="197">
        <f t="shared" si="8"/>
        <v>0</v>
      </c>
      <c r="B22" s="31">
        <v>10</v>
      </c>
      <c r="C22" s="174"/>
      <c r="D22" s="175"/>
      <c r="E22" s="176"/>
      <c r="F22" s="45" t="str">
        <f t="shared" si="9"/>
        <v/>
      </c>
      <c r="G22" s="180"/>
      <c r="H22" s="46" t="str">
        <f t="shared" si="10"/>
        <v/>
      </c>
      <c r="I22" s="182"/>
      <c r="J22" s="47" t="str">
        <f>IFERROR(IF('General Information'!$D$24="New Construction",VLOOKUP(C22,Space_Type_Details,18,FALSE),VLOOKUP(E22,Wattage_Table,11,FALSE)),"")</f>
        <v/>
      </c>
      <c r="K22" s="383" t="str">
        <f>IFERROR(IF('General Information'!$D$24="New Construction",VLOOKUP(C22,Space_Type_Details,13,FALSE)/COUNTIF($C$13:$C$82,C22),VLOOKUP(J22,Wattage_Table,10,FALSE)),"")</f>
        <v/>
      </c>
      <c r="L22" s="48" t="str">
        <f>IFERROR(IF('General Information'!$D$24="New Construction",J22*K22,IF(G22="","",K22*G22)),"")</f>
        <v/>
      </c>
      <c r="M22" s="184"/>
      <c r="N22" s="45" t="str">
        <f t="shared" si="11"/>
        <v/>
      </c>
      <c r="O22" s="180"/>
      <c r="P22" s="45" t="str">
        <f t="shared" si="12"/>
        <v/>
      </c>
      <c r="Q22" s="180"/>
      <c r="R22" s="46" t="str">
        <f t="shared" si="13"/>
        <v/>
      </c>
      <c r="S22" s="182"/>
      <c r="T22" s="49" t="str">
        <f>IFERROR(IF(C22="","",IF(VLOOKUP(C22,Space_Type_Details,8,FALSE)="TRM",INDEX('General Information'!$AF$17:$AG$28,11,MATCH(N22,'General Information'!$AF$16:$AG$16,0)),HLOOKUP(VLOOKUP(C22,Space_Type_Details,8,FALSE),'General Information'!$P$15:$AG$28,13,FALSE))),"")</f>
        <v/>
      </c>
      <c r="U22" s="50" t="str">
        <f>IFERROR(IF(C22="","",IF(VLOOKUP(C22,Space_Type_Details,8,FALSE)="TRM",INDEX('General Information'!$AF$17:$AG$28,12,MATCH(N22,'General Information'!$AF$16:$AG$16,0)),HLOOKUP(VLOOKUP(C22,Space_Type_Details,8,FALSE),'General Information'!$P$15:$AG$28,14,FALSE))),"")</f>
        <v/>
      </c>
      <c r="V22" s="50" t="str">
        <f>IFERROR(VLOOKUP(INDEX(Space_Type_Details,MATCH('Lighting Inventory'!$C22,'General Information'!$C$40:$C$60,0),12),Lookups!$L$8:$N$12,2,FALSE),"")</f>
        <v/>
      </c>
      <c r="W22" s="50" t="str">
        <f>IFERROR(VLOOKUP(INDEX(Space_Type_Details,MATCH('Lighting Inventory'!$C22,'General Information'!$C$40:$C$60,0),12),Lookups!$L$8:$N$12,3,FALSE),"")</f>
        <v/>
      </c>
      <c r="X22" s="51" t="str">
        <f>IFERROR(IF(C22="","",IF('General Information'!$D$24="Retrofit",VLOOKUP('Lighting Inventory'!I22,SVG_Factors,2,FALSE),IF('General Information'!$D$24="New Construction",VLOOKUP(VLOOKUP('General Information'!$D$23,LPD_BuildingArea,5,FALSE),SVG_Factors_NC,3,FALSE),""))),"")</f>
        <v/>
      </c>
      <c r="Y22" s="52" t="str">
        <f t="shared" si="5"/>
        <v/>
      </c>
      <c r="Z22" s="53" t="str">
        <f t="shared" si="14"/>
        <v/>
      </c>
      <c r="AA22" s="51" t="str">
        <f t="shared" si="15"/>
        <v/>
      </c>
      <c r="AB22" s="54" t="str">
        <f t="shared" si="16"/>
        <v/>
      </c>
      <c r="AC22" s="55" t="str">
        <f t="shared" si="17"/>
        <v/>
      </c>
      <c r="AD22" s="54" t="str">
        <f t="shared" si="18"/>
        <v/>
      </c>
      <c r="AE22" s="55" t="str">
        <f t="shared" si="19"/>
        <v/>
      </c>
      <c r="AF22" s="54" t="str">
        <f t="shared" si="20"/>
        <v/>
      </c>
      <c r="AG22" s="203">
        <f t="shared" si="21"/>
        <v>0</v>
      </c>
      <c r="AH22" s="203">
        <f t="shared" si="6"/>
        <v>0</v>
      </c>
      <c r="AI22" s="203">
        <f t="shared" si="7"/>
        <v>0</v>
      </c>
    </row>
    <row r="23" spans="1:35" x14ac:dyDescent="0.25">
      <c r="A23" s="197">
        <f t="shared" si="8"/>
        <v>0</v>
      </c>
      <c r="B23" s="31">
        <v>11</v>
      </c>
      <c r="C23" s="174"/>
      <c r="D23" s="175"/>
      <c r="E23" s="176"/>
      <c r="F23" s="45" t="str">
        <f t="shared" si="9"/>
        <v/>
      </c>
      <c r="G23" s="180"/>
      <c r="H23" s="46" t="str">
        <f t="shared" si="10"/>
        <v/>
      </c>
      <c r="I23" s="182"/>
      <c r="J23" s="47" t="str">
        <f>IFERROR(IF('General Information'!$D$24="New Construction",VLOOKUP(C23,Space_Type_Details,18,FALSE),VLOOKUP(E23,Wattage_Table,11,FALSE)),"")</f>
        <v/>
      </c>
      <c r="K23" s="383" t="str">
        <f>IFERROR(IF('General Information'!$D$24="New Construction",VLOOKUP(C23,Space_Type_Details,13,FALSE)/COUNTIF($C$13:$C$82,C23),VLOOKUP(J23,Wattage_Table,10,FALSE)),"")</f>
        <v/>
      </c>
      <c r="L23" s="48" t="str">
        <f>IFERROR(IF('General Information'!$D$24="New Construction",J23*K23,IF(G23="","",K23*G23)),"")</f>
        <v/>
      </c>
      <c r="M23" s="184"/>
      <c r="N23" s="45" t="str">
        <f t="shared" si="11"/>
        <v/>
      </c>
      <c r="O23" s="180"/>
      <c r="P23" s="45" t="str">
        <f t="shared" si="12"/>
        <v/>
      </c>
      <c r="Q23" s="180"/>
      <c r="R23" s="46" t="str">
        <f t="shared" si="13"/>
        <v/>
      </c>
      <c r="S23" s="182"/>
      <c r="T23" s="49" t="str">
        <f>IFERROR(IF(C23="","",IF(VLOOKUP(C23,Space_Type_Details,8,FALSE)="TRM",INDEX('General Information'!$AF$17:$AG$28,11,MATCH(N23,'General Information'!$AF$16:$AG$16,0)),HLOOKUP(VLOOKUP(C23,Space_Type_Details,8,FALSE),'General Information'!$P$15:$AG$28,13,FALSE))),"")</f>
        <v/>
      </c>
      <c r="U23" s="50" t="str">
        <f>IFERROR(IF(C23="","",IF(VLOOKUP(C23,Space_Type_Details,8,FALSE)="TRM",INDEX('General Information'!$AF$17:$AG$28,12,MATCH(N23,'General Information'!$AF$16:$AG$16,0)),HLOOKUP(VLOOKUP(C23,Space_Type_Details,8,FALSE),'General Information'!$P$15:$AG$28,14,FALSE))),"")</f>
        <v/>
      </c>
      <c r="V23" s="50" t="str">
        <f>IFERROR(VLOOKUP(INDEX(Space_Type_Details,MATCH('Lighting Inventory'!$C23,'General Information'!$C$40:$C$60,0),12),Lookups!$L$8:$N$12,2,FALSE),"")</f>
        <v/>
      </c>
      <c r="W23" s="50" t="str">
        <f>IFERROR(VLOOKUP(INDEX(Space_Type_Details,MATCH('Lighting Inventory'!$C23,'General Information'!$C$40:$C$60,0),12),Lookups!$L$8:$N$12,3,FALSE),"")</f>
        <v/>
      </c>
      <c r="X23" s="51" t="str">
        <f>IFERROR(IF(C23="","",IF('General Information'!$D$24="Retrofit",VLOOKUP('Lighting Inventory'!I23,SVG_Factors,2,FALSE),IF('General Information'!$D$24="New Construction",VLOOKUP(VLOOKUP('General Information'!$D$23,LPD_BuildingArea,5,FALSE),SVG_Factors_NC,3,FALSE),""))),"")</f>
        <v/>
      </c>
      <c r="Y23" s="52" t="str">
        <f t="shared" si="5"/>
        <v/>
      </c>
      <c r="Z23" s="53" t="str">
        <f t="shared" si="14"/>
        <v/>
      </c>
      <c r="AA23" s="51" t="str">
        <f t="shared" si="15"/>
        <v/>
      </c>
      <c r="AB23" s="54" t="str">
        <f t="shared" si="16"/>
        <v/>
      </c>
      <c r="AC23" s="55" t="str">
        <f t="shared" si="17"/>
        <v/>
      </c>
      <c r="AD23" s="54" t="str">
        <f t="shared" si="18"/>
        <v/>
      </c>
      <c r="AE23" s="55" t="str">
        <f t="shared" si="19"/>
        <v/>
      </c>
      <c r="AF23" s="54" t="str">
        <f t="shared" si="20"/>
        <v/>
      </c>
      <c r="AG23" s="203">
        <f t="shared" si="21"/>
        <v>0</v>
      </c>
      <c r="AH23" s="203">
        <f t="shared" si="6"/>
        <v>0</v>
      </c>
      <c r="AI23" s="203">
        <f t="shared" si="7"/>
        <v>0</v>
      </c>
    </row>
    <row r="24" spans="1:35" x14ac:dyDescent="0.25">
      <c r="A24" s="197">
        <f t="shared" si="8"/>
        <v>0</v>
      </c>
      <c r="B24" s="31">
        <v>12</v>
      </c>
      <c r="C24" s="174"/>
      <c r="D24" s="175"/>
      <c r="E24" s="176"/>
      <c r="F24" s="45" t="str">
        <f t="shared" si="9"/>
        <v/>
      </c>
      <c r="G24" s="180"/>
      <c r="H24" s="46" t="str">
        <f t="shared" si="10"/>
        <v/>
      </c>
      <c r="I24" s="182"/>
      <c r="J24" s="47" t="str">
        <f>IFERROR(IF('General Information'!$D$24="New Construction",VLOOKUP(C24,Space_Type_Details,18,FALSE),VLOOKUP(E24,Wattage_Table,11,FALSE)),"")</f>
        <v/>
      </c>
      <c r="K24" s="383" t="str">
        <f>IFERROR(IF('General Information'!$D$24="New Construction",VLOOKUP(C24,Space_Type_Details,13,FALSE)/COUNTIF($C$13:$C$82,C24),VLOOKUP(J24,Wattage_Table,10,FALSE)),"")</f>
        <v/>
      </c>
      <c r="L24" s="48" t="str">
        <f>IFERROR(IF('General Information'!$D$24="New Construction",J24*K24,IF(G24="","",K24*G24)),"")</f>
        <v/>
      </c>
      <c r="M24" s="184"/>
      <c r="N24" s="45" t="str">
        <f t="shared" si="11"/>
        <v/>
      </c>
      <c r="O24" s="180"/>
      <c r="P24" s="45" t="str">
        <f t="shared" si="12"/>
        <v/>
      </c>
      <c r="Q24" s="180"/>
      <c r="R24" s="46" t="str">
        <f t="shared" si="13"/>
        <v/>
      </c>
      <c r="S24" s="182"/>
      <c r="T24" s="49" t="str">
        <f>IFERROR(IF(C24="","",IF(VLOOKUP(C24,Space_Type_Details,8,FALSE)="TRM",INDEX('General Information'!$AF$17:$AG$28,11,MATCH(N24,'General Information'!$AF$16:$AG$16,0)),HLOOKUP(VLOOKUP(C24,Space_Type_Details,8,FALSE),'General Information'!$P$15:$AG$28,13,FALSE))),"")</f>
        <v/>
      </c>
      <c r="U24" s="50" t="str">
        <f>IFERROR(IF(C24="","",IF(VLOOKUP(C24,Space_Type_Details,8,FALSE)="TRM",INDEX('General Information'!$AF$17:$AG$28,12,MATCH(N24,'General Information'!$AF$16:$AG$16,0)),HLOOKUP(VLOOKUP(C24,Space_Type_Details,8,FALSE),'General Information'!$P$15:$AG$28,14,FALSE))),"")</f>
        <v/>
      </c>
      <c r="V24" s="50" t="str">
        <f>IFERROR(VLOOKUP(INDEX(Space_Type_Details,MATCH('Lighting Inventory'!$C24,'General Information'!$C$40:$C$60,0),12),Lookups!$L$8:$N$12,2,FALSE),"")</f>
        <v/>
      </c>
      <c r="W24" s="50" t="str">
        <f>IFERROR(VLOOKUP(INDEX(Space_Type_Details,MATCH('Lighting Inventory'!$C24,'General Information'!$C$40:$C$60,0),12),Lookups!$L$8:$N$12,3,FALSE),"")</f>
        <v/>
      </c>
      <c r="X24" s="51" t="str">
        <f>IFERROR(IF(C24="","",IF('General Information'!$D$24="Retrofit",VLOOKUP('Lighting Inventory'!I24,SVG_Factors,2,FALSE),IF('General Information'!$D$24="New Construction",VLOOKUP(VLOOKUP('General Information'!$D$23,LPD_BuildingArea,5,FALSE),SVG_Factors_NC,3,FALSE),""))),"")</f>
        <v/>
      </c>
      <c r="Y24" s="52" t="str">
        <f t="shared" si="5"/>
        <v/>
      </c>
      <c r="Z24" s="53" t="str">
        <f t="shared" si="14"/>
        <v/>
      </c>
      <c r="AA24" s="51" t="str">
        <f t="shared" si="15"/>
        <v/>
      </c>
      <c r="AB24" s="54" t="str">
        <f t="shared" si="16"/>
        <v/>
      </c>
      <c r="AC24" s="55" t="str">
        <f t="shared" si="17"/>
        <v/>
      </c>
      <c r="AD24" s="54" t="str">
        <f t="shared" si="18"/>
        <v/>
      </c>
      <c r="AE24" s="55" t="str">
        <f t="shared" si="19"/>
        <v/>
      </c>
      <c r="AF24" s="54" t="str">
        <f t="shared" si="20"/>
        <v/>
      </c>
      <c r="AG24" s="203">
        <f t="shared" si="21"/>
        <v>0</v>
      </c>
      <c r="AH24" s="203">
        <f t="shared" si="6"/>
        <v>0</v>
      </c>
      <c r="AI24" s="203">
        <f t="shared" si="7"/>
        <v>0</v>
      </c>
    </row>
    <row r="25" spans="1:35" x14ac:dyDescent="0.25">
      <c r="A25" s="197">
        <f t="shared" si="8"/>
        <v>0</v>
      </c>
      <c r="B25" s="31">
        <v>13</v>
      </c>
      <c r="C25" s="174"/>
      <c r="D25" s="175"/>
      <c r="E25" s="176"/>
      <c r="F25" s="45" t="str">
        <f t="shared" si="9"/>
        <v/>
      </c>
      <c r="G25" s="180"/>
      <c r="H25" s="46" t="str">
        <f t="shared" si="10"/>
        <v/>
      </c>
      <c r="I25" s="182"/>
      <c r="J25" s="47" t="str">
        <f>IFERROR(IF('General Information'!$D$24="New Construction",VLOOKUP(C25,Space_Type_Details,18,FALSE),VLOOKUP(E25,Wattage_Table,11,FALSE)),"")</f>
        <v/>
      </c>
      <c r="K25" s="383" t="str">
        <f>IFERROR(IF('General Information'!$D$24="New Construction",VLOOKUP(C25,Space_Type_Details,13,FALSE)/COUNTIF($C$13:$C$82,C25),VLOOKUP(J25,Wattage_Table,10,FALSE)),"")</f>
        <v/>
      </c>
      <c r="L25" s="48" t="str">
        <f>IFERROR(IF('General Information'!$D$24="New Construction",J25*K25,IF(G25="","",K25*G25)),"")</f>
        <v/>
      </c>
      <c r="M25" s="184"/>
      <c r="N25" s="45" t="str">
        <f t="shared" si="11"/>
        <v/>
      </c>
      <c r="O25" s="180"/>
      <c r="P25" s="45" t="str">
        <f t="shared" si="12"/>
        <v/>
      </c>
      <c r="Q25" s="180"/>
      <c r="R25" s="46" t="str">
        <f t="shared" si="13"/>
        <v/>
      </c>
      <c r="S25" s="182"/>
      <c r="T25" s="49" t="str">
        <f>IFERROR(IF(C25="","",IF(VLOOKUP(C25,Space_Type_Details,8,FALSE)="TRM",INDEX('General Information'!$AF$17:$AG$28,11,MATCH(N25,'General Information'!$AF$16:$AG$16,0)),HLOOKUP(VLOOKUP(C25,Space_Type_Details,8,FALSE),'General Information'!$P$15:$AG$28,13,FALSE))),"")</f>
        <v/>
      </c>
      <c r="U25" s="50" t="str">
        <f>IFERROR(IF(C25="","",IF(VLOOKUP(C25,Space_Type_Details,8,FALSE)="TRM",INDEX('General Information'!$AF$17:$AG$28,12,MATCH(N25,'General Information'!$AF$16:$AG$16,0)),HLOOKUP(VLOOKUP(C25,Space_Type_Details,8,FALSE),'General Information'!$P$15:$AG$28,14,FALSE))),"")</f>
        <v/>
      </c>
      <c r="V25" s="50" t="str">
        <f>IFERROR(VLOOKUP(INDEX(Space_Type_Details,MATCH('Lighting Inventory'!$C25,'General Information'!$C$40:$C$60,0),12),Lookups!$L$8:$N$12,2,FALSE),"")</f>
        <v/>
      </c>
      <c r="W25" s="50" t="str">
        <f>IFERROR(VLOOKUP(INDEX(Space_Type_Details,MATCH('Lighting Inventory'!$C25,'General Information'!$C$40:$C$60,0),12),Lookups!$L$8:$N$12,3,FALSE),"")</f>
        <v/>
      </c>
      <c r="X25" s="51" t="str">
        <f>IFERROR(IF(C25="","",IF('General Information'!$D$24="Retrofit",VLOOKUP('Lighting Inventory'!I25,SVG_Factors,2,FALSE),IF('General Information'!$D$24="New Construction",VLOOKUP(VLOOKUP('General Information'!$D$23,LPD_BuildingArea,5,FALSE),SVG_Factors_NC,3,FALSE),""))),"")</f>
        <v/>
      </c>
      <c r="Y25" s="52" t="str">
        <f t="shared" si="5"/>
        <v/>
      </c>
      <c r="Z25" s="53" t="str">
        <f t="shared" si="14"/>
        <v/>
      </c>
      <c r="AA25" s="51" t="str">
        <f t="shared" si="15"/>
        <v/>
      </c>
      <c r="AB25" s="54" t="str">
        <f t="shared" si="16"/>
        <v/>
      </c>
      <c r="AC25" s="55" t="str">
        <f t="shared" si="17"/>
        <v/>
      </c>
      <c r="AD25" s="54" t="str">
        <f t="shared" si="18"/>
        <v/>
      </c>
      <c r="AE25" s="55" t="str">
        <f t="shared" si="19"/>
        <v/>
      </c>
      <c r="AF25" s="54" t="str">
        <f t="shared" si="20"/>
        <v/>
      </c>
      <c r="AG25" s="203">
        <f t="shared" si="21"/>
        <v>0</v>
      </c>
      <c r="AH25" s="203">
        <f t="shared" si="6"/>
        <v>0</v>
      </c>
      <c r="AI25" s="203">
        <f t="shared" si="7"/>
        <v>0</v>
      </c>
    </row>
    <row r="26" spans="1:35" x14ac:dyDescent="0.25">
      <c r="A26" s="197">
        <f t="shared" si="8"/>
        <v>0</v>
      </c>
      <c r="B26" s="31">
        <v>14</v>
      </c>
      <c r="C26" s="174"/>
      <c r="D26" s="175"/>
      <c r="E26" s="176"/>
      <c r="F26" s="45" t="str">
        <f t="shared" si="9"/>
        <v/>
      </c>
      <c r="G26" s="180"/>
      <c r="H26" s="46" t="str">
        <f t="shared" si="10"/>
        <v/>
      </c>
      <c r="I26" s="182"/>
      <c r="J26" s="47" t="str">
        <f>IFERROR(IF('General Information'!$D$24="New Construction",VLOOKUP(C26,Space_Type_Details,18,FALSE),VLOOKUP(E26,Wattage_Table,11,FALSE)),"")</f>
        <v/>
      </c>
      <c r="K26" s="383" t="str">
        <f>IFERROR(IF('General Information'!$D$24="New Construction",VLOOKUP(C26,Space_Type_Details,13,FALSE)/COUNTIF($C$13:$C$82,C26),VLOOKUP(J26,Wattage_Table,10,FALSE)),"")</f>
        <v/>
      </c>
      <c r="L26" s="48" t="str">
        <f>IFERROR(IF('General Information'!$D$24="New Construction",J26*K26,IF(G26="","",K26*G26)),"")</f>
        <v/>
      </c>
      <c r="M26" s="184"/>
      <c r="N26" s="45" t="str">
        <f t="shared" si="11"/>
        <v/>
      </c>
      <c r="O26" s="180"/>
      <c r="P26" s="45" t="str">
        <f t="shared" si="12"/>
        <v/>
      </c>
      <c r="Q26" s="180"/>
      <c r="R26" s="46" t="str">
        <f t="shared" si="13"/>
        <v/>
      </c>
      <c r="S26" s="182"/>
      <c r="T26" s="49" t="str">
        <f>IFERROR(IF(C26="","",IF(VLOOKUP(C26,Space_Type_Details,8,FALSE)="TRM",INDEX('General Information'!$AF$17:$AG$28,11,MATCH(N26,'General Information'!$AF$16:$AG$16,0)),HLOOKUP(VLOOKUP(C26,Space_Type_Details,8,FALSE),'General Information'!$P$15:$AG$28,13,FALSE))),"")</f>
        <v/>
      </c>
      <c r="U26" s="50" t="str">
        <f>IFERROR(IF(C26="","",IF(VLOOKUP(C26,Space_Type_Details,8,FALSE)="TRM",INDEX('General Information'!$AF$17:$AG$28,12,MATCH(N26,'General Information'!$AF$16:$AG$16,0)),HLOOKUP(VLOOKUP(C26,Space_Type_Details,8,FALSE),'General Information'!$P$15:$AG$28,14,FALSE))),"")</f>
        <v/>
      </c>
      <c r="V26" s="50" t="str">
        <f>IFERROR(VLOOKUP(INDEX(Space_Type_Details,MATCH('Lighting Inventory'!$C26,'General Information'!$C$40:$C$60,0),12),Lookups!$L$8:$N$12,2,FALSE),"")</f>
        <v/>
      </c>
      <c r="W26" s="50" t="str">
        <f>IFERROR(VLOOKUP(INDEX(Space_Type_Details,MATCH('Lighting Inventory'!$C26,'General Information'!$C$40:$C$60,0),12),Lookups!$L$8:$N$12,3,FALSE),"")</f>
        <v/>
      </c>
      <c r="X26" s="51" t="str">
        <f>IFERROR(IF(C26="","",IF('General Information'!$D$24="Retrofit",VLOOKUP('Lighting Inventory'!I26,SVG_Factors,2,FALSE),IF('General Information'!$D$24="New Construction",VLOOKUP(VLOOKUP('General Information'!$D$23,LPD_BuildingArea,5,FALSE),SVG_Factors_NC,3,FALSE),""))),"")</f>
        <v/>
      </c>
      <c r="Y26" s="52" t="str">
        <f t="shared" si="5"/>
        <v/>
      </c>
      <c r="Z26" s="53" t="str">
        <f t="shared" si="14"/>
        <v/>
      </c>
      <c r="AA26" s="51" t="str">
        <f t="shared" si="15"/>
        <v/>
      </c>
      <c r="AB26" s="54" t="str">
        <f t="shared" si="16"/>
        <v/>
      </c>
      <c r="AC26" s="55" t="str">
        <f t="shared" si="17"/>
        <v/>
      </c>
      <c r="AD26" s="54" t="str">
        <f t="shared" si="18"/>
        <v/>
      </c>
      <c r="AE26" s="55" t="str">
        <f t="shared" si="19"/>
        <v/>
      </c>
      <c r="AF26" s="54" t="str">
        <f t="shared" si="20"/>
        <v/>
      </c>
      <c r="AG26" s="203">
        <f t="shared" si="21"/>
        <v>0</v>
      </c>
      <c r="AH26" s="203">
        <f t="shared" si="6"/>
        <v>0</v>
      </c>
      <c r="AI26" s="203">
        <f t="shared" si="7"/>
        <v>0</v>
      </c>
    </row>
    <row r="27" spans="1:35" x14ac:dyDescent="0.25">
      <c r="A27" s="197">
        <f t="shared" si="8"/>
        <v>0</v>
      </c>
      <c r="B27" s="31">
        <v>15</v>
      </c>
      <c r="C27" s="174"/>
      <c r="D27" s="175"/>
      <c r="E27" s="176"/>
      <c r="F27" s="45" t="str">
        <f t="shared" si="9"/>
        <v/>
      </c>
      <c r="G27" s="180"/>
      <c r="H27" s="46" t="str">
        <f t="shared" si="10"/>
        <v/>
      </c>
      <c r="I27" s="182"/>
      <c r="J27" s="47" t="str">
        <f>IFERROR(IF('General Information'!$D$24="New Construction",VLOOKUP(C27,Space_Type_Details,18,FALSE),VLOOKUP(E27,Wattage_Table,11,FALSE)),"")</f>
        <v/>
      </c>
      <c r="K27" s="383" t="str">
        <f>IFERROR(IF('General Information'!$D$24="New Construction",VLOOKUP(C27,Space_Type_Details,13,FALSE)/COUNTIF($C$13:$C$82,C27),VLOOKUP(J27,Wattage_Table,10,FALSE)),"")</f>
        <v/>
      </c>
      <c r="L27" s="48" t="str">
        <f>IFERROR(IF('General Information'!$D$24="New Construction",J27*K27,IF(G27="","",K27*G27)),"")</f>
        <v/>
      </c>
      <c r="M27" s="184"/>
      <c r="N27" s="45" t="str">
        <f t="shared" si="11"/>
        <v/>
      </c>
      <c r="O27" s="180"/>
      <c r="P27" s="45" t="str">
        <f t="shared" si="12"/>
        <v/>
      </c>
      <c r="Q27" s="180"/>
      <c r="R27" s="46" t="str">
        <f t="shared" si="13"/>
        <v/>
      </c>
      <c r="S27" s="182"/>
      <c r="T27" s="49" t="str">
        <f>IFERROR(IF(C27="","",IF(VLOOKUP(C27,Space_Type_Details,8,FALSE)="TRM",INDEX('General Information'!$AF$17:$AG$28,11,MATCH(N27,'General Information'!$AF$16:$AG$16,0)),HLOOKUP(VLOOKUP(C27,Space_Type_Details,8,FALSE),'General Information'!$P$15:$AG$28,13,FALSE))),"")</f>
        <v/>
      </c>
      <c r="U27" s="50" t="str">
        <f>IFERROR(IF(C27="","",IF(VLOOKUP(C27,Space_Type_Details,8,FALSE)="TRM",INDEX('General Information'!$AF$17:$AG$28,12,MATCH(N27,'General Information'!$AF$16:$AG$16,0)),HLOOKUP(VLOOKUP(C27,Space_Type_Details,8,FALSE),'General Information'!$P$15:$AG$28,14,FALSE))),"")</f>
        <v/>
      </c>
      <c r="V27" s="50" t="str">
        <f>IFERROR(VLOOKUP(INDEX(Space_Type_Details,MATCH('Lighting Inventory'!$C27,'General Information'!$C$40:$C$60,0),12),Lookups!$L$8:$N$12,2,FALSE),"")</f>
        <v/>
      </c>
      <c r="W27" s="50" t="str">
        <f>IFERROR(VLOOKUP(INDEX(Space_Type_Details,MATCH('Lighting Inventory'!$C27,'General Information'!$C$40:$C$60,0),12),Lookups!$L$8:$N$12,3,FALSE),"")</f>
        <v/>
      </c>
      <c r="X27" s="51" t="str">
        <f>IFERROR(IF(C27="","",IF('General Information'!$D$24="Retrofit",VLOOKUP('Lighting Inventory'!I27,SVG_Factors,2,FALSE),IF('General Information'!$D$24="New Construction",VLOOKUP(VLOOKUP('General Information'!$D$23,LPD_BuildingArea,5,FALSE),SVG_Factors_NC,3,FALSE),""))),"")</f>
        <v/>
      </c>
      <c r="Y27" s="52" t="str">
        <f t="shared" si="5"/>
        <v/>
      </c>
      <c r="Z27" s="53" t="str">
        <f t="shared" si="14"/>
        <v/>
      </c>
      <c r="AA27" s="51" t="str">
        <f t="shared" si="15"/>
        <v/>
      </c>
      <c r="AB27" s="54" t="str">
        <f t="shared" si="16"/>
        <v/>
      </c>
      <c r="AC27" s="55" t="str">
        <f t="shared" si="17"/>
        <v/>
      </c>
      <c r="AD27" s="54" t="str">
        <f t="shared" si="18"/>
        <v/>
      </c>
      <c r="AE27" s="55" t="str">
        <f t="shared" si="19"/>
        <v/>
      </c>
      <c r="AF27" s="54" t="str">
        <f t="shared" si="20"/>
        <v/>
      </c>
      <c r="AG27" s="203">
        <f t="shared" si="21"/>
        <v>0</v>
      </c>
      <c r="AH27" s="203">
        <f t="shared" si="6"/>
        <v>0</v>
      </c>
      <c r="AI27" s="203">
        <f t="shared" si="7"/>
        <v>0</v>
      </c>
    </row>
    <row r="28" spans="1:35" x14ac:dyDescent="0.25">
      <c r="A28" s="197">
        <f t="shared" si="8"/>
        <v>0</v>
      </c>
      <c r="B28" s="31">
        <v>16</v>
      </c>
      <c r="C28" s="174"/>
      <c r="D28" s="175"/>
      <c r="E28" s="176"/>
      <c r="F28" s="45" t="str">
        <f t="shared" si="9"/>
        <v/>
      </c>
      <c r="G28" s="180"/>
      <c r="H28" s="46" t="str">
        <f t="shared" si="10"/>
        <v/>
      </c>
      <c r="I28" s="182"/>
      <c r="J28" s="47" t="str">
        <f>IFERROR(IF('General Information'!$D$24="New Construction",VLOOKUP(C28,Space_Type_Details,18,FALSE),VLOOKUP(E28,Wattage_Table,11,FALSE)),"")</f>
        <v/>
      </c>
      <c r="K28" s="383" t="str">
        <f>IFERROR(IF('General Information'!$D$24="New Construction",VLOOKUP(C28,Space_Type_Details,13,FALSE)/COUNTIF($C$13:$C$82,C28),VLOOKUP(J28,Wattage_Table,10,FALSE)),"")</f>
        <v/>
      </c>
      <c r="L28" s="48" t="str">
        <f>IFERROR(IF('General Information'!$D$24="New Construction",J28*K28,IF(G28="","",K28*G28)),"")</f>
        <v/>
      </c>
      <c r="M28" s="184"/>
      <c r="N28" s="45" t="str">
        <f t="shared" si="11"/>
        <v/>
      </c>
      <c r="O28" s="180"/>
      <c r="P28" s="45" t="str">
        <f t="shared" si="12"/>
        <v/>
      </c>
      <c r="Q28" s="180"/>
      <c r="R28" s="46" t="str">
        <f t="shared" si="13"/>
        <v/>
      </c>
      <c r="S28" s="182"/>
      <c r="T28" s="49" t="str">
        <f>IFERROR(IF(C28="","",IF(VLOOKUP(C28,Space_Type_Details,8,FALSE)="TRM",INDEX('General Information'!$AF$17:$AG$28,11,MATCH(N28,'General Information'!$AF$16:$AG$16,0)),HLOOKUP(VLOOKUP(C28,Space_Type_Details,8,FALSE),'General Information'!$P$15:$AG$28,13,FALSE))),"")</f>
        <v/>
      </c>
      <c r="U28" s="50" t="str">
        <f>IFERROR(IF(C28="","",IF(VLOOKUP(C28,Space_Type_Details,8,FALSE)="TRM",INDEX('General Information'!$AF$17:$AG$28,12,MATCH(N28,'General Information'!$AF$16:$AG$16,0)),HLOOKUP(VLOOKUP(C28,Space_Type_Details,8,FALSE),'General Information'!$P$15:$AG$28,14,FALSE))),"")</f>
        <v/>
      </c>
      <c r="V28" s="50" t="str">
        <f>IFERROR(VLOOKUP(INDEX(Space_Type_Details,MATCH('Lighting Inventory'!$C28,'General Information'!$C$40:$C$60,0),12),Lookups!$L$8:$N$12,2,FALSE),"")</f>
        <v/>
      </c>
      <c r="W28" s="50" t="str">
        <f>IFERROR(VLOOKUP(INDEX(Space_Type_Details,MATCH('Lighting Inventory'!$C28,'General Information'!$C$40:$C$60,0),12),Lookups!$L$8:$N$12,3,FALSE),"")</f>
        <v/>
      </c>
      <c r="X28" s="51" t="str">
        <f>IFERROR(IF(C28="","",IF('General Information'!$D$24="Retrofit",VLOOKUP('Lighting Inventory'!I28,SVG_Factors,2,FALSE),IF('General Information'!$D$24="New Construction",VLOOKUP(VLOOKUP('General Information'!$D$23,LPD_BuildingArea,5,FALSE),SVG_Factors_NC,3,FALSE),""))),"")</f>
        <v/>
      </c>
      <c r="Y28" s="52" t="str">
        <f t="shared" si="5"/>
        <v/>
      </c>
      <c r="Z28" s="53" t="str">
        <f t="shared" si="14"/>
        <v/>
      </c>
      <c r="AA28" s="51" t="str">
        <f t="shared" si="15"/>
        <v/>
      </c>
      <c r="AB28" s="54" t="str">
        <f t="shared" si="16"/>
        <v/>
      </c>
      <c r="AC28" s="55" t="str">
        <f t="shared" si="17"/>
        <v/>
      </c>
      <c r="AD28" s="54" t="str">
        <f t="shared" si="18"/>
        <v/>
      </c>
      <c r="AE28" s="55" t="str">
        <f t="shared" si="19"/>
        <v/>
      </c>
      <c r="AF28" s="54" t="str">
        <f t="shared" si="20"/>
        <v/>
      </c>
      <c r="AG28" s="203">
        <f t="shared" si="21"/>
        <v>0</v>
      </c>
      <c r="AH28" s="203">
        <f t="shared" si="6"/>
        <v>0</v>
      </c>
      <c r="AI28" s="203">
        <f t="shared" si="7"/>
        <v>0</v>
      </c>
    </row>
    <row r="29" spans="1:35" x14ac:dyDescent="0.25">
      <c r="A29" s="197">
        <f t="shared" si="8"/>
        <v>0</v>
      </c>
      <c r="B29" s="31">
        <v>17</v>
      </c>
      <c r="C29" s="174"/>
      <c r="D29" s="175"/>
      <c r="E29" s="176"/>
      <c r="F29" s="45" t="str">
        <f t="shared" si="9"/>
        <v/>
      </c>
      <c r="G29" s="180"/>
      <c r="H29" s="46" t="str">
        <f t="shared" si="10"/>
        <v/>
      </c>
      <c r="I29" s="182"/>
      <c r="J29" s="47" t="str">
        <f>IFERROR(IF('General Information'!$D$24="New Construction",VLOOKUP(C29,Space_Type_Details,18,FALSE),VLOOKUP(E29,Wattage_Table,11,FALSE)),"")</f>
        <v/>
      </c>
      <c r="K29" s="383" t="str">
        <f>IFERROR(IF('General Information'!$D$24="New Construction",VLOOKUP(C29,Space_Type_Details,13,FALSE)/COUNTIF($C$13:$C$82,C29),VLOOKUP(J29,Wattage_Table,10,FALSE)),"")</f>
        <v/>
      </c>
      <c r="L29" s="48" t="str">
        <f>IFERROR(IF('General Information'!$D$24="New Construction",J29*K29,IF(G29="","",K29*G29)),"")</f>
        <v/>
      </c>
      <c r="M29" s="184"/>
      <c r="N29" s="45" t="str">
        <f t="shared" si="11"/>
        <v/>
      </c>
      <c r="O29" s="180"/>
      <c r="P29" s="45" t="str">
        <f t="shared" si="12"/>
        <v/>
      </c>
      <c r="Q29" s="180"/>
      <c r="R29" s="46" t="str">
        <f t="shared" si="13"/>
        <v/>
      </c>
      <c r="S29" s="182"/>
      <c r="T29" s="49" t="str">
        <f>IFERROR(IF(C29="","",IF(VLOOKUP(C29,Space_Type_Details,8,FALSE)="TRM",INDEX('General Information'!$AF$17:$AG$28,11,MATCH(N29,'General Information'!$AF$16:$AG$16,0)),HLOOKUP(VLOOKUP(C29,Space_Type_Details,8,FALSE),'General Information'!$P$15:$AG$28,13,FALSE))),"")</f>
        <v/>
      </c>
      <c r="U29" s="50" t="str">
        <f>IFERROR(IF(C29="","",IF(VLOOKUP(C29,Space_Type_Details,8,FALSE)="TRM",INDEX('General Information'!$AF$17:$AG$28,12,MATCH(N29,'General Information'!$AF$16:$AG$16,0)),HLOOKUP(VLOOKUP(C29,Space_Type_Details,8,FALSE),'General Information'!$P$15:$AG$28,14,FALSE))),"")</f>
        <v/>
      </c>
      <c r="V29" s="50" t="str">
        <f>IFERROR(VLOOKUP(INDEX(Space_Type_Details,MATCH('Lighting Inventory'!$C29,'General Information'!$C$40:$C$60,0),12),Lookups!$L$8:$N$12,2,FALSE),"")</f>
        <v/>
      </c>
      <c r="W29" s="50" t="str">
        <f>IFERROR(VLOOKUP(INDEX(Space_Type_Details,MATCH('Lighting Inventory'!$C29,'General Information'!$C$40:$C$60,0),12),Lookups!$L$8:$N$12,3,FALSE),"")</f>
        <v/>
      </c>
      <c r="X29" s="51" t="str">
        <f>IFERROR(IF(C29="","",IF('General Information'!$D$24="Retrofit",VLOOKUP('Lighting Inventory'!I29,SVG_Factors,2,FALSE),IF('General Information'!$D$24="New Construction",VLOOKUP(VLOOKUP('General Information'!$D$23,LPD_BuildingArea,5,FALSE),SVG_Factors_NC,3,FALSE),""))),"")</f>
        <v/>
      </c>
      <c r="Y29" s="52" t="str">
        <f t="shared" si="5"/>
        <v/>
      </c>
      <c r="Z29" s="53" t="str">
        <f t="shared" si="14"/>
        <v/>
      </c>
      <c r="AA29" s="51" t="str">
        <f t="shared" si="15"/>
        <v/>
      </c>
      <c r="AB29" s="54" t="str">
        <f t="shared" si="16"/>
        <v/>
      </c>
      <c r="AC29" s="55" t="str">
        <f t="shared" si="17"/>
        <v/>
      </c>
      <c r="AD29" s="54" t="str">
        <f t="shared" si="18"/>
        <v/>
      </c>
      <c r="AE29" s="55" t="str">
        <f t="shared" si="19"/>
        <v/>
      </c>
      <c r="AF29" s="54" t="str">
        <f t="shared" si="20"/>
        <v/>
      </c>
      <c r="AG29" s="203">
        <f t="shared" si="21"/>
        <v>0</v>
      </c>
      <c r="AH29" s="203">
        <f t="shared" si="6"/>
        <v>0</v>
      </c>
      <c r="AI29" s="203">
        <f t="shared" si="7"/>
        <v>0</v>
      </c>
    </row>
    <row r="30" spans="1:35" x14ac:dyDescent="0.25">
      <c r="A30" s="197">
        <f t="shared" si="8"/>
        <v>0</v>
      </c>
      <c r="B30" s="31">
        <v>18</v>
      </c>
      <c r="C30" s="174"/>
      <c r="D30" s="175"/>
      <c r="E30" s="176"/>
      <c r="F30" s="45" t="str">
        <f t="shared" si="9"/>
        <v/>
      </c>
      <c r="G30" s="180"/>
      <c r="H30" s="46" t="str">
        <f t="shared" si="10"/>
        <v/>
      </c>
      <c r="I30" s="182"/>
      <c r="J30" s="47" t="str">
        <f>IFERROR(IF('General Information'!$D$24="New Construction",VLOOKUP(C30,Space_Type_Details,18,FALSE),VLOOKUP(E30,Wattage_Table,11,FALSE)),"")</f>
        <v/>
      </c>
      <c r="K30" s="383" t="str">
        <f>IFERROR(IF('General Information'!$D$24="New Construction",VLOOKUP(C30,Space_Type_Details,13,FALSE)/COUNTIF($C$13:$C$82,C30),VLOOKUP(J30,Wattage_Table,10,FALSE)),"")</f>
        <v/>
      </c>
      <c r="L30" s="48" t="str">
        <f>IFERROR(IF('General Information'!$D$24="New Construction",J30*K30,IF(G30="","",K30*G30)),"")</f>
        <v/>
      </c>
      <c r="M30" s="184"/>
      <c r="N30" s="45" t="str">
        <f t="shared" si="11"/>
        <v/>
      </c>
      <c r="O30" s="180"/>
      <c r="P30" s="45" t="str">
        <f t="shared" si="12"/>
        <v/>
      </c>
      <c r="Q30" s="180"/>
      <c r="R30" s="46" t="str">
        <f t="shared" si="13"/>
        <v/>
      </c>
      <c r="S30" s="182"/>
      <c r="T30" s="49" t="str">
        <f>IFERROR(IF(C30="","",IF(VLOOKUP(C30,Space_Type_Details,8,FALSE)="TRM",INDEX('General Information'!$AF$17:$AG$28,11,MATCH(N30,'General Information'!$AF$16:$AG$16,0)),HLOOKUP(VLOOKUP(C30,Space_Type_Details,8,FALSE),'General Information'!$P$15:$AG$28,13,FALSE))),"")</f>
        <v/>
      </c>
      <c r="U30" s="50" t="str">
        <f>IFERROR(IF(C30="","",IF(VLOOKUP(C30,Space_Type_Details,8,FALSE)="TRM",INDEX('General Information'!$AF$17:$AG$28,12,MATCH(N30,'General Information'!$AF$16:$AG$16,0)),HLOOKUP(VLOOKUP(C30,Space_Type_Details,8,FALSE),'General Information'!$P$15:$AG$28,14,FALSE))),"")</f>
        <v/>
      </c>
      <c r="V30" s="50" t="str">
        <f>IFERROR(VLOOKUP(INDEX(Space_Type_Details,MATCH('Lighting Inventory'!$C30,'General Information'!$C$40:$C$60,0),12),Lookups!$L$8:$N$12,2,FALSE),"")</f>
        <v/>
      </c>
      <c r="W30" s="50" t="str">
        <f>IFERROR(VLOOKUP(INDEX(Space_Type_Details,MATCH('Lighting Inventory'!$C30,'General Information'!$C$40:$C$60,0),12),Lookups!$L$8:$N$12,3,FALSE),"")</f>
        <v/>
      </c>
      <c r="X30" s="51" t="str">
        <f>IFERROR(IF(C30="","",IF('General Information'!$D$24="Retrofit",VLOOKUP('Lighting Inventory'!I30,SVG_Factors,2,FALSE),IF('General Information'!$D$24="New Construction",VLOOKUP(VLOOKUP('General Information'!$D$23,LPD_BuildingArea,5,FALSE),SVG_Factors_NC,3,FALSE),""))),"")</f>
        <v/>
      </c>
      <c r="Y30" s="52" t="str">
        <f t="shared" si="5"/>
        <v/>
      </c>
      <c r="Z30" s="53" t="str">
        <f t="shared" si="14"/>
        <v/>
      </c>
      <c r="AA30" s="51" t="str">
        <f t="shared" si="15"/>
        <v/>
      </c>
      <c r="AB30" s="54" t="str">
        <f t="shared" si="16"/>
        <v/>
      </c>
      <c r="AC30" s="55" t="str">
        <f t="shared" si="17"/>
        <v/>
      </c>
      <c r="AD30" s="54" t="str">
        <f t="shared" si="18"/>
        <v/>
      </c>
      <c r="AE30" s="55" t="str">
        <f t="shared" si="19"/>
        <v/>
      </c>
      <c r="AF30" s="54" t="str">
        <f t="shared" si="20"/>
        <v/>
      </c>
      <c r="AG30" s="203">
        <f t="shared" si="21"/>
        <v>0</v>
      </c>
      <c r="AH30" s="203">
        <f t="shared" si="6"/>
        <v>0</v>
      </c>
      <c r="AI30" s="203">
        <f t="shared" si="7"/>
        <v>0</v>
      </c>
    </row>
    <row r="31" spans="1:35" x14ac:dyDescent="0.25">
      <c r="A31" s="197">
        <f t="shared" si="8"/>
        <v>0</v>
      </c>
      <c r="B31" s="31">
        <v>19</v>
      </c>
      <c r="C31" s="174"/>
      <c r="D31" s="175"/>
      <c r="E31" s="176"/>
      <c r="F31" s="45" t="str">
        <f t="shared" si="9"/>
        <v/>
      </c>
      <c r="G31" s="180"/>
      <c r="H31" s="46" t="str">
        <f t="shared" si="10"/>
        <v/>
      </c>
      <c r="I31" s="182"/>
      <c r="J31" s="47" t="str">
        <f>IFERROR(IF('General Information'!$D$24="New Construction",VLOOKUP(C31,Space_Type_Details,18,FALSE),VLOOKUP(E31,Wattage_Table,11,FALSE)),"")</f>
        <v/>
      </c>
      <c r="K31" s="383" t="str">
        <f>IFERROR(IF('General Information'!$D$24="New Construction",VLOOKUP(C31,Space_Type_Details,13,FALSE)/COUNTIF($C$13:$C$82,C31),VLOOKUP(J31,Wattage_Table,10,FALSE)),"")</f>
        <v/>
      </c>
      <c r="L31" s="48" t="str">
        <f>IFERROR(IF('General Information'!$D$24="New Construction",J31*K31,IF(G31="","",K31*G31)),"")</f>
        <v/>
      </c>
      <c r="M31" s="184"/>
      <c r="N31" s="45" t="str">
        <f t="shared" si="11"/>
        <v/>
      </c>
      <c r="O31" s="180"/>
      <c r="P31" s="45" t="str">
        <f t="shared" si="12"/>
        <v/>
      </c>
      <c r="Q31" s="180"/>
      <c r="R31" s="46" t="str">
        <f t="shared" si="13"/>
        <v/>
      </c>
      <c r="S31" s="182"/>
      <c r="T31" s="49" t="str">
        <f>IFERROR(IF(C31="","",IF(VLOOKUP(C31,Space_Type_Details,8,FALSE)="TRM",INDEX('General Information'!$AF$17:$AG$28,11,MATCH(N31,'General Information'!$AF$16:$AG$16,0)),HLOOKUP(VLOOKUP(C31,Space_Type_Details,8,FALSE),'General Information'!$P$15:$AG$28,13,FALSE))),"")</f>
        <v/>
      </c>
      <c r="U31" s="50" t="str">
        <f>IFERROR(IF(C31="","",IF(VLOOKUP(C31,Space_Type_Details,8,FALSE)="TRM",INDEX('General Information'!$AF$17:$AG$28,12,MATCH(N31,'General Information'!$AF$16:$AG$16,0)),HLOOKUP(VLOOKUP(C31,Space_Type_Details,8,FALSE),'General Information'!$P$15:$AG$28,14,FALSE))),"")</f>
        <v/>
      </c>
      <c r="V31" s="50" t="str">
        <f>IFERROR(VLOOKUP(INDEX(Space_Type_Details,MATCH('Lighting Inventory'!$C31,'General Information'!$C$40:$C$60,0),12),Lookups!$L$8:$N$12,2,FALSE),"")</f>
        <v/>
      </c>
      <c r="W31" s="50" t="str">
        <f>IFERROR(VLOOKUP(INDEX(Space_Type_Details,MATCH('Lighting Inventory'!$C31,'General Information'!$C$40:$C$60,0),12),Lookups!$L$8:$N$12,3,FALSE),"")</f>
        <v/>
      </c>
      <c r="X31" s="51" t="str">
        <f>IFERROR(IF(C31="","",IF('General Information'!$D$24="Retrofit",VLOOKUP('Lighting Inventory'!I31,SVG_Factors,2,FALSE),IF('General Information'!$D$24="New Construction",VLOOKUP(VLOOKUP('General Information'!$D$23,LPD_BuildingArea,5,FALSE),SVG_Factors_NC,3,FALSE),""))),"")</f>
        <v/>
      </c>
      <c r="Y31" s="52" t="str">
        <f t="shared" si="5"/>
        <v/>
      </c>
      <c r="Z31" s="53" t="str">
        <f t="shared" si="14"/>
        <v/>
      </c>
      <c r="AA31" s="51" t="str">
        <f t="shared" si="15"/>
        <v/>
      </c>
      <c r="AB31" s="54" t="str">
        <f t="shared" si="16"/>
        <v/>
      </c>
      <c r="AC31" s="55" t="str">
        <f t="shared" si="17"/>
        <v/>
      </c>
      <c r="AD31" s="54" t="str">
        <f t="shared" si="18"/>
        <v/>
      </c>
      <c r="AE31" s="55" t="str">
        <f t="shared" si="19"/>
        <v/>
      </c>
      <c r="AF31" s="54" t="str">
        <f t="shared" si="20"/>
        <v/>
      </c>
      <c r="AG31" s="203">
        <f t="shared" si="21"/>
        <v>0</v>
      </c>
      <c r="AH31" s="203">
        <f t="shared" si="6"/>
        <v>0</v>
      </c>
      <c r="AI31" s="203">
        <f t="shared" si="7"/>
        <v>0</v>
      </c>
    </row>
    <row r="32" spans="1:35" x14ac:dyDescent="0.25">
      <c r="A32" s="197">
        <f t="shared" si="8"/>
        <v>0</v>
      </c>
      <c r="B32" s="31">
        <v>20</v>
      </c>
      <c r="C32" s="174"/>
      <c r="D32" s="175"/>
      <c r="E32" s="176"/>
      <c r="F32" s="45" t="str">
        <f t="shared" si="9"/>
        <v/>
      </c>
      <c r="G32" s="180"/>
      <c r="H32" s="46" t="str">
        <f t="shared" si="10"/>
        <v/>
      </c>
      <c r="I32" s="182"/>
      <c r="J32" s="47" t="str">
        <f>IFERROR(IF('General Information'!$D$24="New Construction",VLOOKUP(C32,Space_Type_Details,18,FALSE),VLOOKUP(E32,Wattage_Table,11,FALSE)),"")</f>
        <v/>
      </c>
      <c r="K32" s="383" t="str">
        <f>IFERROR(IF('General Information'!$D$24="New Construction",VLOOKUP(C32,Space_Type_Details,13,FALSE)/COUNTIF($C$13:$C$82,C32),VLOOKUP(J32,Wattage_Table,10,FALSE)),"")</f>
        <v/>
      </c>
      <c r="L32" s="48" t="str">
        <f>IFERROR(IF('General Information'!$D$24="New Construction",J32*K32,IF(G32="","",K32*G32)),"")</f>
        <v/>
      </c>
      <c r="M32" s="184"/>
      <c r="N32" s="45" t="str">
        <f t="shared" si="11"/>
        <v/>
      </c>
      <c r="O32" s="180"/>
      <c r="P32" s="45" t="str">
        <f t="shared" si="12"/>
        <v/>
      </c>
      <c r="Q32" s="180"/>
      <c r="R32" s="46" t="str">
        <f t="shared" si="13"/>
        <v/>
      </c>
      <c r="S32" s="182"/>
      <c r="T32" s="49" t="str">
        <f>IFERROR(IF(C32="","",IF(VLOOKUP(C32,Space_Type_Details,8,FALSE)="TRM",INDEX('General Information'!$AF$17:$AG$28,11,MATCH(N32,'General Information'!$AF$16:$AG$16,0)),HLOOKUP(VLOOKUP(C32,Space_Type_Details,8,FALSE),'General Information'!$P$15:$AG$28,13,FALSE))),"")</f>
        <v/>
      </c>
      <c r="U32" s="50" t="str">
        <f>IFERROR(IF(C32="","",IF(VLOOKUP(C32,Space_Type_Details,8,FALSE)="TRM",INDEX('General Information'!$AF$17:$AG$28,12,MATCH(N32,'General Information'!$AF$16:$AG$16,0)),HLOOKUP(VLOOKUP(C32,Space_Type_Details,8,FALSE),'General Information'!$P$15:$AG$28,14,FALSE))),"")</f>
        <v/>
      </c>
      <c r="V32" s="50" t="str">
        <f>IFERROR(VLOOKUP(INDEX(Space_Type_Details,MATCH('Lighting Inventory'!$C32,'General Information'!$C$40:$C$60,0),12),Lookups!$L$8:$N$12,2,FALSE),"")</f>
        <v/>
      </c>
      <c r="W32" s="50" t="str">
        <f>IFERROR(VLOOKUP(INDEX(Space_Type_Details,MATCH('Lighting Inventory'!$C32,'General Information'!$C$40:$C$60,0),12),Lookups!$L$8:$N$12,3,FALSE),"")</f>
        <v/>
      </c>
      <c r="X32" s="51" t="str">
        <f>IFERROR(IF(C32="","",IF('General Information'!$D$24="Retrofit",VLOOKUP('Lighting Inventory'!I32,SVG_Factors,2,FALSE),IF('General Information'!$D$24="New Construction",VLOOKUP(VLOOKUP('General Information'!$D$23,LPD_BuildingArea,5,FALSE),SVG_Factors_NC,3,FALSE),""))),"")</f>
        <v/>
      </c>
      <c r="Y32" s="52" t="str">
        <f t="shared" si="5"/>
        <v/>
      </c>
      <c r="Z32" s="53" t="str">
        <f t="shared" si="14"/>
        <v/>
      </c>
      <c r="AA32" s="51" t="str">
        <f t="shared" si="15"/>
        <v/>
      </c>
      <c r="AB32" s="54" t="str">
        <f t="shared" si="16"/>
        <v/>
      </c>
      <c r="AC32" s="55" t="str">
        <f t="shared" si="17"/>
        <v/>
      </c>
      <c r="AD32" s="54" t="str">
        <f t="shared" si="18"/>
        <v/>
      </c>
      <c r="AE32" s="55" t="str">
        <f t="shared" si="19"/>
        <v/>
      </c>
      <c r="AF32" s="54" t="str">
        <f t="shared" si="20"/>
        <v/>
      </c>
      <c r="AG32" s="203">
        <f t="shared" si="21"/>
        <v>0</v>
      </c>
      <c r="AH32" s="203">
        <f t="shared" si="6"/>
        <v>0</v>
      </c>
      <c r="AI32" s="203">
        <f t="shared" si="7"/>
        <v>0</v>
      </c>
    </row>
    <row r="33" spans="1:35" x14ac:dyDescent="0.25">
      <c r="A33" s="197">
        <f t="shared" si="8"/>
        <v>0</v>
      </c>
      <c r="B33" s="31">
        <v>21</v>
      </c>
      <c r="C33" s="174"/>
      <c r="D33" s="175"/>
      <c r="E33" s="176"/>
      <c r="F33" s="45" t="str">
        <f t="shared" si="9"/>
        <v/>
      </c>
      <c r="G33" s="180"/>
      <c r="H33" s="46" t="str">
        <f t="shared" si="10"/>
        <v/>
      </c>
      <c r="I33" s="182"/>
      <c r="J33" s="47" t="str">
        <f>IFERROR(IF('General Information'!$D$24="New Construction",VLOOKUP(C33,Space_Type_Details,18,FALSE),VLOOKUP(E33,Wattage_Table,11,FALSE)),"")</f>
        <v/>
      </c>
      <c r="K33" s="383" t="str">
        <f>IFERROR(IF('General Information'!$D$24="New Construction",VLOOKUP(C33,Space_Type_Details,13,FALSE)/COUNTIF($C$13:$C$82,C33),VLOOKUP(J33,Wattage_Table,10,FALSE)),"")</f>
        <v/>
      </c>
      <c r="L33" s="48" t="str">
        <f>IFERROR(IF('General Information'!$D$24="New Construction",J33*K33,IF(G33="","",K33*G33)),"")</f>
        <v/>
      </c>
      <c r="M33" s="184"/>
      <c r="N33" s="45" t="str">
        <f t="shared" si="11"/>
        <v/>
      </c>
      <c r="O33" s="180"/>
      <c r="P33" s="45" t="str">
        <f t="shared" si="12"/>
        <v/>
      </c>
      <c r="Q33" s="180"/>
      <c r="R33" s="46" t="str">
        <f t="shared" si="13"/>
        <v/>
      </c>
      <c r="S33" s="182"/>
      <c r="T33" s="49" t="str">
        <f>IFERROR(IF(C33="","",IF(VLOOKUP(C33,Space_Type_Details,8,FALSE)="TRM",INDEX('General Information'!$AF$17:$AG$28,11,MATCH(N33,'General Information'!$AF$16:$AG$16,0)),HLOOKUP(VLOOKUP(C33,Space_Type_Details,8,FALSE),'General Information'!$P$15:$AG$28,13,FALSE))),"")</f>
        <v/>
      </c>
      <c r="U33" s="50" t="str">
        <f>IFERROR(IF(C33="","",IF(VLOOKUP(C33,Space_Type_Details,8,FALSE)="TRM",INDEX('General Information'!$AF$17:$AG$28,12,MATCH(N33,'General Information'!$AF$16:$AG$16,0)),HLOOKUP(VLOOKUP(C33,Space_Type_Details,8,FALSE),'General Information'!$P$15:$AG$28,14,FALSE))),"")</f>
        <v/>
      </c>
      <c r="V33" s="50" t="str">
        <f>IFERROR(VLOOKUP(INDEX(Space_Type_Details,MATCH('Lighting Inventory'!$C33,'General Information'!$C$40:$C$60,0),12),Lookups!$L$8:$N$12,2,FALSE),"")</f>
        <v/>
      </c>
      <c r="W33" s="50" t="str">
        <f>IFERROR(VLOOKUP(INDEX(Space_Type_Details,MATCH('Lighting Inventory'!$C33,'General Information'!$C$40:$C$60,0),12),Lookups!$L$8:$N$12,3,FALSE),"")</f>
        <v/>
      </c>
      <c r="X33" s="51" t="str">
        <f>IFERROR(IF(C33="","",IF('General Information'!$D$24="Retrofit",VLOOKUP('Lighting Inventory'!I33,SVG_Factors,2,FALSE),IF('General Information'!$D$24="New Construction",VLOOKUP(VLOOKUP('General Information'!$D$23,LPD_BuildingArea,5,FALSE),SVG_Factors_NC,3,FALSE),""))),"")</f>
        <v/>
      </c>
      <c r="Y33" s="52" t="str">
        <f t="shared" si="5"/>
        <v/>
      </c>
      <c r="Z33" s="53" t="str">
        <f t="shared" si="14"/>
        <v/>
      </c>
      <c r="AA33" s="51" t="str">
        <f t="shared" si="15"/>
        <v/>
      </c>
      <c r="AB33" s="54" t="str">
        <f t="shared" si="16"/>
        <v/>
      </c>
      <c r="AC33" s="55" t="str">
        <f t="shared" si="17"/>
        <v/>
      </c>
      <c r="AD33" s="54" t="str">
        <f t="shared" si="18"/>
        <v/>
      </c>
      <c r="AE33" s="55" t="str">
        <f t="shared" si="19"/>
        <v/>
      </c>
      <c r="AF33" s="54" t="str">
        <f t="shared" si="20"/>
        <v/>
      </c>
      <c r="AG33" s="203">
        <f t="shared" si="21"/>
        <v>0</v>
      </c>
      <c r="AH33" s="203">
        <f t="shared" si="6"/>
        <v>0</v>
      </c>
      <c r="AI33" s="203">
        <f t="shared" si="7"/>
        <v>0</v>
      </c>
    </row>
    <row r="34" spans="1:35" x14ac:dyDescent="0.25">
      <c r="A34" s="197">
        <f t="shared" si="8"/>
        <v>0</v>
      </c>
      <c r="B34" s="31">
        <v>22</v>
      </c>
      <c r="C34" s="174"/>
      <c r="D34" s="175"/>
      <c r="E34" s="176"/>
      <c r="F34" s="45" t="str">
        <f t="shared" si="9"/>
        <v/>
      </c>
      <c r="G34" s="180"/>
      <c r="H34" s="46" t="str">
        <f t="shared" si="10"/>
        <v/>
      </c>
      <c r="I34" s="182"/>
      <c r="J34" s="47" t="str">
        <f>IFERROR(IF('General Information'!$D$24="New Construction",VLOOKUP(C34,Space_Type_Details,18,FALSE),VLOOKUP(E34,Wattage_Table,11,FALSE)),"")</f>
        <v/>
      </c>
      <c r="K34" s="383" t="str">
        <f>IFERROR(IF('General Information'!$D$24="New Construction",VLOOKUP(C34,Space_Type_Details,13,FALSE)/COUNTIF($C$13:$C$82,C34),VLOOKUP(J34,Wattage_Table,10,FALSE)),"")</f>
        <v/>
      </c>
      <c r="L34" s="48" t="str">
        <f>IFERROR(IF('General Information'!$D$24="New Construction",J34*K34,IF(G34="","",K34*G34)),"")</f>
        <v/>
      </c>
      <c r="M34" s="184"/>
      <c r="N34" s="45" t="str">
        <f t="shared" si="11"/>
        <v/>
      </c>
      <c r="O34" s="180"/>
      <c r="P34" s="45" t="str">
        <f t="shared" si="12"/>
        <v/>
      </c>
      <c r="Q34" s="180"/>
      <c r="R34" s="46" t="str">
        <f t="shared" si="13"/>
        <v/>
      </c>
      <c r="S34" s="182"/>
      <c r="T34" s="49" t="str">
        <f>IFERROR(IF(C34="","",IF(VLOOKUP(C34,Space_Type_Details,8,FALSE)="TRM",INDEX('General Information'!$AF$17:$AG$28,11,MATCH(N34,'General Information'!$AF$16:$AG$16,0)),HLOOKUP(VLOOKUP(C34,Space_Type_Details,8,FALSE),'General Information'!$P$15:$AG$28,13,FALSE))),"")</f>
        <v/>
      </c>
      <c r="U34" s="50" t="str">
        <f>IFERROR(IF(C34="","",IF(VLOOKUP(C34,Space_Type_Details,8,FALSE)="TRM",INDEX('General Information'!$AF$17:$AG$28,12,MATCH(N34,'General Information'!$AF$16:$AG$16,0)),HLOOKUP(VLOOKUP(C34,Space_Type_Details,8,FALSE),'General Information'!$P$15:$AG$28,14,FALSE))),"")</f>
        <v/>
      </c>
      <c r="V34" s="50" t="str">
        <f>IFERROR(VLOOKUP(INDEX(Space_Type_Details,MATCH('Lighting Inventory'!$C34,'General Information'!$C$40:$C$60,0),12),Lookups!$L$8:$N$12,2,FALSE),"")</f>
        <v/>
      </c>
      <c r="W34" s="50" t="str">
        <f>IFERROR(VLOOKUP(INDEX(Space_Type_Details,MATCH('Lighting Inventory'!$C34,'General Information'!$C$40:$C$60,0),12),Lookups!$L$8:$N$12,3,FALSE),"")</f>
        <v/>
      </c>
      <c r="X34" s="51" t="str">
        <f>IFERROR(IF(C34="","",IF('General Information'!$D$24="Retrofit",VLOOKUP('Lighting Inventory'!I34,SVG_Factors,2,FALSE),IF('General Information'!$D$24="New Construction",VLOOKUP(VLOOKUP('General Information'!$D$23,LPD_BuildingArea,5,FALSE),SVG_Factors_NC,3,FALSE),""))),"")</f>
        <v/>
      </c>
      <c r="Y34" s="52" t="str">
        <f t="shared" si="5"/>
        <v/>
      </c>
      <c r="Z34" s="53" t="str">
        <f t="shared" si="14"/>
        <v/>
      </c>
      <c r="AA34" s="51" t="str">
        <f t="shared" si="15"/>
        <v/>
      </c>
      <c r="AB34" s="54" t="str">
        <f t="shared" si="16"/>
        <v/>
      </c>
      <c r="AC34" s="55" t="str">
        <f t="shared" si="17"/>
        <v/>
      </c>
      <c r="AD34" s="54" t="str">
        <f t="shared" si="18"/>
        <v/>
      </c>
      <c r="AE34" s="55" t="str">
        <f t="shared" si="19"/>
        <v/>
      </c>
      <c r="AF34" s="54" t="str">
        <f t="shared" si="20"/>
        <v/>
      </c>
      <c r="AG34" s="203">
        <f t="shared" si="21"/>
        <v>0</v>
      </c>
      <c r="AH34" s="203">
        <f t="shared" si="6"/>
        <v>0</v>
      </c>
      <c r="AI34" s="203">
        <f t="shared" si="7"/>
        <v>0</v>
      </c>
    </row>
    <row r="35" spans="1:35" x14ac:dyDescent="0.25">
      <c r="A35" s="197">
        <f t="shared" si="8"/>
        <v>0</v>
      </c>
      <c r="B35" s="31">
        <v>23</v>
      </c>
      <c r="C35" s="174"/>
      <c r="D35" s="175"/>
      <c r="E35" s="176"/>
      <c r="F35" s="45" t="str">
        <f t="shared" si="9"/>
        <v/>
      </c>
      <c r="G35" s="180"/>
      <c r="H35" s="46" t="str">
        <f t="shared" si="10"/>
        <v/>
      </c>
      <c r="I35" s="182"/>
      <c r="J35" s="47" t="str">
        <f>IFERROR(IF('General Information'!$D$24="New Construction",VLOOKUP(C35,Space_Type_Details,18,FALSE),VLOOKUP(E35,Wattage_Table,11,FALSE)),"")</f>
        <v/>
      </c>
      <c r="K35" s="383" t="str">
        <f>IFERROR(IF('General Information'!$D$24="New Construction",VLOOKUP(C35,Space_Type_Details,13,FALSE)/COUNTIF($C$13:$C$82,C35),VLOOKUP(J35,Wattage_Table,10,FALSE)),"")</f>
        <v/>
      </c>
      <c r="L35" s="48" t="str">
        <f>IFERROR(IF('General Information'!$D$24="New Construction",J35*K35,IF(G35="","",K35*G35)),"")</f>
        <v/>
      </c>
      <c r="M35" s="184"/>
      <c r="N35" s="45" t="str">
        <f t="shared" si="11"/>
        <v/>
      </c>
      <c r="O35" s="180"/>
      <c r="P35" s="45" t="str">
        <f t="shared" si="12"/>
        <v/>
      </c>
      <c r="Q35" s="180"/>
      <c r="R35" s="46" t="str">
        <f t="shared" si="13"/>
        <v/>
      </c>
      <c r="S35" s="182"/>
      <c r="T35" s="49" t="str">
        <f>IFERROR(IF(C35="","",IF(VLOOKUP(C35,Space_Type_Details,8,FALSE)="TRM",INDEX('General Information'!$AF$17:$AG$28,11,MATCH(N35,'General Information'!$AF$16:$AG$16,0)),HLOOKUP(VLOOKUP(C35,Space_Type_Details,8,FALSE),'General Information'!$P$15:$AG$28,13,FALSE))),"")</f>
        <v/>
      </c>
      <c r="U35" s="50" t="str">
        <f>IFERROR(IF(C35="","",IF(VLOOKUP(C35,Space_Type_Details,8,FALSE)="TRM",INDEX('General Information'!$AF$17:$AG$28,12,MATCH(N35,'General Information'!$AF$16:$AG$16,0)),HLOOKUP(VLOOKUP(C35,Space_Type_Details,8,FALSE),'General Information'!$P$15:$AG$28,14,FALSE))),"")</f>
        <v/>
      </c>
      <c r="V35" s="50" t="str">
        <f>IFERROR(VLOOKUP(INDEX(Space_Type_Details,MATCH('Lighting Inventory'!$C35,'General Information'!$C$40:$C$60,0),12),Lookups!$L$8:$N$12,2,FALSE),"")</f>
        <v/>
      </c>
      <c r="W35" s="50" t="str">
        <f>IFERROR(VLOOKUP(INDEX(Space_Type_Details,MATCH('Lighting Inventory'!$C35,'General Information'!$C$40:$C$60,0),12),Lookups!$L$8:$N$12,3,FALSE),"")</f>
        <v/>
      </c>
      <c r="X35" s="51" t="str">
        <f>IFERROR(IF(C35="","",IF('General Information'!$D$24="Retrofit",VLOOKUP('Lighting Inventory'!I35,SVG_Factors,2,FALSE),IF('General Information'!$D$24="New Construction",VLOOKUP(VLOOKUP('General Information'!$D$23,LPD_BuildingArea,5,FALSE),SVG_Factors_NC,3,FALSE),""))),"")</f>
        <v/>
      </c>
      <c r="Y35" s="52" t="str">
        <f t="shared" si="5"/>
        <v/>
      </c>
      <c r="Z35" s="53" t="str">
        <f t="shared" si="14"/>
        <v/>
      </c>
      <c r="AA35" s="51" t="str">
        <f t="shared" si="15"/>
        <v/>
      </c>
      <c r="AB35" s="54" t="str">
        <f t="shared" si="16"/>
        <v/>
      </c>
      <c r="AC35" s="55" t="str">
        <f t="shared" si="17"/>
        <v/>
      </c>
      <c r="AD35" s="54" t="str">
        <f t="shared" si="18"/>
        <v/>
      </c>
      <c r="AE35" s="55" t="str">
        <f t="shared" si="19"/>
        <v/>
      </c>
      <c r="AF35" s="54" t="str">
        <f t="shared" si="20"/>
        <v/>
      </c>
      <c r="AG35" s="203">
        <f t="shared" si="21"/>
        <v>0</v>
      </c>
      <c r="AH35" s="203">
        <f t="shared" si="6"/>
        <v>0</v>
      </c>
      <c r="AI35" s="203">
        <f t="shared" si="7"/>
        <v>0</v>
      </c>
    </row>
    <row r="36" spans="1:35" x14ac:dyDescent="0.25">
      <c r="A36" s="197">
        <f t="shared" si="8"/>
        <v>0</v>
      </c>
      <c r="B36" s="31">
        <v>24</v>
      </c>
      <c r="C36" s="174"/>
      <c r="D36" s="175"/>
      <c r="E36" s="176"/>
      <c r="F36" s="45" t="str">
        <f t="shared" si="9"/>
        <v/>
      </c>
      <c r="G36" s="180"/>
      <c r="H36" s="46" t="str">
        <f t="shared" si="10"/>
        <v/>
      </c>
      <c r="I36" s="182"/>
      <c r="J36" s="47" t="str">
        <f>IFERROR(IF('General Information'!$D$24="New Construction",VLOOKUP(C36,Space_Type_Details,18,FALSE),VLOOKUP(E36,Wattage_Table,11,FALSE)),"")</f>
        <v/>
      </c>
      <c r="K36" s="383" t="str">
        <f>IFERROR(IF('General Information'!$D$24="New Construction",VLOOKUP(C36,Space_Type_Details,13,FALSE)/COUNTIF($C$13:$C$82,C36),VLOOKUP(J36,Wattage_Table,10,FALSE)),"")</f>
        <v/>
      </c>
      <c r="L36" s="48" t="str">
        <f>IFERROR(IF('General Information'!$D$24="New Construction",J36*K36,IF(G36="","",K36*G36)),"")</f>
        <v/>
      </c>
      <c r="M36" s="184"/>
      <c r="N36" s="45" t="str">
        <f t="shared" si="11"/>
        <v/>
      </c>
      <c r="O36" s="180"/>
      <c r="P36" s="45" t="str">
        <f t="shared" si="12"/>
        <v/>
      </c>
      <c r="Q36" s="180"/>
      <c r="R36" s="46" t="str">
        <f t="shared" si="13"/>
        <v/>
      </c>
      <c r="S36" s="182"/>
      <c r="T36" s="49" t="str">
        <f>IFERROR(IF(C36="","",IF(VLOOKUP(C36,Space_Type_Details,8,FALSE)="TRM",INDEX('General Information'!$AF$17:$AG$28,11,MATCH(N36,'General Information'!$AF$16:$AG$16,0)),HLOOKUP(VLOOKUP(C36,Space_Type_Details,8,FALSE),'General Information'!$P$15:$AG$28,13,FALSE))),"")</f>
        <v/>
      </c>
      <c r="U36" s="50" t="str">
        <f>IFERROR(IF(C36="","",IF(VLOOKUP(C36,Space_Type_Details,8,FALSE)="TRM",INDEX('General Information'!$AF$17:$AG$28,12,MATCH(N36,'General Information'!$AF$16:$AG$16,0)),HLOOKUP(VLOOKUP(C36,Space_Type_Details,8,FALSE),'General Information'!$P$15:$AG$28,14,FALSE))),"")</f>
        <v/>
      </c>
      <c r="V36" s="50" t="str">
        <f>IFERROR(VLOOKUP(INDEX(Space_Type_Details,MATCH('Lighting Inventory'!$C36,'General Information'!$C$40:$C$60,0),12),Lookups!$L$8:$N$12,2,FALSE),"")</f>
        <v/>
      </c>
      <c r="W36" s="50" t="str">
        <f>IFERROR(VLOOKUP(INDEX(Space_Type_Details,MATCH('Lighting Inventory'!$C36,'General Information'!$C$40:$C$60,0),12),Lookups!$L$8:$N$12,3,FALSE),"")</f>
        <v/>
      </c>
      <c r="X36" s="51" t="str">
        <f>IFERROR(IF(C36="","",IF('General Information'!$D$24="Retrofit",VLOOKUP('Lighting Inventory'!I36,SVG_Factors,2,FALSE),IF('General Information'!$D$24="New Construction",VLOOKUP(VLOOKUP('General Information'!$D$23,LPD_BuildingArea,5,FALSE),SVG_Factors_NC,3,FALSE),""))),"")</f>
        <v/>
      </c>
      <c r="Y36" s="52" t="str">
        <f t="shared" si="5"/>
        <v/>
      </c>
      <c r="Z36" s="53" t="str">
        <f t="shared" si="14"/>
        <v/>
      </c>
      <c r="AA36" s="51" t="str">
        <f t="shared" si="15"/>
        <v/>
      </c>
      <c r="AB36" s="54" t="str">
        <f t="shared" si="16"/>
        <v/>
      </c>
      <c r="AC36" s="55" t="str">
        <f t="shared" si="17"/>
        <v/>
      </c>
      <c r="AD36" s="54" t="str">
        <f t="shared" si="18"/>
        <v/>
      </c>
      <c r="AE36" s="55" t="str">
        <f t="shared" si="19"/>
        <v/>
      </c>
      <c r="AF36" s="54" t="str">
        <f t="shared" si="20"/>
        <v/>
      </c>
      <c r="AG36" s="203">
        <f t="shared" si="21"/>
        <v>0</v>
      </c>
      <c r="AH36" s="203">
        <f t="shared" si="6"/>
        <v>0</v>
      </c>
      <c r="AI36" s="203">
        <f t="shared" si="7"/>
        <v>0</v>
      </c>
    </row>
    <row r="37" spans="1:35" x14ac:dyDescent="0.25">
      <c r="A37" s="197">
        <f t="shared" si="8"/>
        <v>0</v>
      </c>
      <c r="B37" s="31">
        <v>25</v>
      </c>
      <c r="C37" s="174"/>
      <c r="D37" s="175"/>
      <c r="E37" s="176"/>
      <c r="F37" s="45" t="str">
        <f t="shared" si="9"/>
        <v/>
      </c>
      <c r="G37" s="180"/>
      <c r="H37" s="46" t="str">
        <f t="shared" si="10"/>
        <v/>
      </c>
      <c r="I37" s="182"/>
      <c r="J37" s="47" t="str">
        <f>IFERROR(IF('General Information'!$D$24="New Construction",VLOOKUP(C37,Space_Type_Details,18,FALSE),VLOOKUP(E37,Wattage_Table,11,FALSE)),"")</f>
        <v/>
      </c>
      <c r="K37" s="383" t="str">
        <f>IFERROR(IF('General Information'!$D$24="New Construction",VLOOKUP(C37,Space_Type_Details,13,FALSE)/COUNTIF($C$13:$C$82,C37),VLOOKUP(J37,Wattage_Table,10,FALSE)),"")</f>
        <v/>
      </c>
      <c r="L37" s="48" t="str">
        <f>IFERROR(IF('General Information'!$D$24="New Construction",J37*K37,IF(G37="","",K37*G37)),"")</f>
        <v/>
      </c>
      <c r="M37" s="184"/>
      <c r="N37" s="45" t="str">
        <f t="shared" si="11"/>
        <v/>
      </c>
      <c r="O37" s="180"/>
      <c r="P37" s="45" t="str">
        <f t="shared" si="12"/>
        <v/>
      </c>
      <c r="Q37" s="180"/>
      <c r="R37" s="46" t="str">
        <f t="shared" si="13"/>
        <v/>
      </c>
      <c r="S37" s="182"/>
      <c r="T37" s="49" t="str">
        <f>IFERROR(IF(C37="","",IF(VLOOKUP(C37,Space_Type_Details,8,FALSE)="TRM",INDEX('General Information'!$AF$17:$AG$28,11,MATCH(N37,'General Information'!$AF$16:$AG$16,0)),HLOOKUP(VLOOKUP(C37,Space_Type_Details,8,FALSE),'General Information'!$P$15:$AG$28,13,FALSE))),"")</f>
        <v/>
      </c>
      <c r="U37" s="50" t="str">
        <f>IFERROR(IF(C37="","",IF(VLOOKUP(C37,Space_Type_Details,8,FALSE)="TRM",INDEX('General Information'!$AF$17:$AG$28,12,MATCH(N37,'General Information'!$AF$16:$AG$16,0)),HLOOKUP(VLOOKUP(C37,Space_Type_Details,8,FALSE),'General Information'!$P$15:$AG$28,14,FALSE))),"")</f>
        <v/>
      </c>
      <c r="V37" s="50" t="str">
        <f>IFERROR(VLOOKUP(INDEX(Space_Type_Details,MATCH('Lighting Inventory'!$C37,'General Information'!$C$40:$C$60,0),12),Lookups!$L$8:$N$12,2,FALSE),"")</f>
        <v/>
      </c>
      <c r="W37" s="50" t="str">
        <f>IFERROR(VLOOKUP(INDEX(Space_Type_Details,MATCH('Lighting Inventory'!$C37,'General Information'!$C$40:$C$60,0),12),Lookups!$L$8:$N$12,3,FALSE),"")</f>
        <v/>
      </c>
      <c r="X37" s="51" t="str">
        <f>IFERROR(IF(C37="","",IF('General Information'!$D$24="Retrofit",VLOOKUP('Lighting Inventory'!I37,SVG_Factors,2,FALSE),IF('General Information'!$D$24="New Construction",VLOOKUP(VLOOKUP('General Information'!$D$23,LPD_BuildingArea,5,FALSE),SVG_Factors_NC,3,FALSE),""))),"")</f>
        <v/>
      </c>
      <c r="Y37" s="52" t="str">
        <f t="shared" si="5"/>
        <v/>
      </c>
      <c r="Z37" s="53" t="str">
        <f t="shared" si="14"/>
        <v/>
      </c>
      <c r="AA37" s="51" t="str">
        <f t="shared" si="15"/>
        <v/>
      </c>
      <c r="AB37" s="54" t="str">
        <f t="shared" si="16"/>
        <v/>
      </c>
      <c r="AC37" s="55" t="str">
        <f t="shared" si="17"/>
        <v/>
      </c>
      <c r="AD37" s="54" t="str">
        <f t="shared" si="18"/>
        <v/>
      </c>
      <c r="AE37" s="55" t="str">
        <f t="shared" si="19"/>
        <v/>
      </c>
      <c r="AF37" s="54" t="str">
        <f t="shared" si="20"/>
        <v/>
      </c>
      <c r="AG37" s="203">
        <f t="shared" si="21"/>
        <v>0</v>
      </c>
      <c r="AH37" s="203">
        <f t="shared" si="6"/>
        <v>0</v>
      </c>
      <c r="AI37" s="203">
        <f t="shared" si="7"/>
        <v>0</v>
      </c>
    </row>
    <row r="38" spans="1:35" x14ac:dyDescent="0.25">
      <c r="A38" s="197">
        <f t="shared" si="8"/>
        <v>0</v>
      </c>
      <c r="B38" s="31">
        <v>26</v>
      </c>
      <c r="C38" s="174"/>
      <c r="D38" s="175"/>
      <c r="E38" s="176"/>
      <c r="F38" s="45" t="str">
        <f t="shared" si="9"/>
        <v/>
      </c>
      <c r="G38" s="180"/>
      <c r="H38" s="46" t="str">
        <f t="shared" si="10"/>
        <v/>
      </c>
      <c r="I38" s="182"/>
      <c r="J38" s="47" t="str">
        <f>IFERROR(IF('General Information'!$D$24="New Construction",VLOOKUP(C38,Space_Type_Details,18,FALSE),VLOOKUP(E38,Wattage_Table,11,FALSE)),"")</f>
        <v/>
      </c>
      <c r="K38" s="383" t="str">
        <f>IFERROR(IF('General Information'!$D$24="New Construction",VLOOKUP(C38,Space_Type_Details,13,FALSE)/COUNTIF($C$13:$C$82,C38),VLOOKUP(J38,Wattage_Table,10,FALSE)),"")</f>
        <v/>
      </c>
      <c r="L38" s="48" t="str">
        <f>IFERROR(IF('General Information'!$D$24="New Construction",J38*K38,IF(G38="","",K38*G38)),"")</f>
        <v/>
      </c>
      <c r="M38" s="184"/>
      <c r="N38" s="45" t="str">
        <f t="shared" si="11"/>
        <v/>
      </c>
      <c r="O38" s="180"/>
      <c r="P38" s="45" t="str">
        <f t="shared" si="12"/>
        <v/>
      </c>
      <c r="Q38" s="180"/>
      <c r="R38" s="46" t="str">
        <f t="shared" si="13"/>
        <v/>
      </c>
      <c r="S38" s="182"/>
      <c r="T38" s="49" t="str">
        <f>IFERROR(IF(C38="","",IF(VLOOKUP(C38,Space_Type_Details,8,FALSE)="TRM",INDEX('General Information'!$AF$17:$AG$28,11,MATCH(N38,'General Information'!$AF$16:$AG$16,0)),HLOOKUP(VLOOKUP(C38,Space_Type_Details,8,FALSE),'General Information'!$P$15:$AG$28,13,FALSE))),"")</f>
        <v/>
      </c>
      <c r="U38" s="50" t="str">
        <f>IFERROR(IF(C38="","",IF(VLOOKUP(C38,Space_Type_Details,8,FALSE)="TRM",INDEX('General Information'!$AF$17:$AG$28,12,MATCH(N38,'General Information'!$AF$16:$AG$16,0)),HLOOKUP(VLOOKUP(C38,Space_Type_Details,8,FALSE),'General Information'!$P$15:$AG$28,14,FALSE))),"")</f>
        <v/>
      </c>
      <c r="V38" s="50" t="str">
        <f>IFERROR(VLOOKUP(INDEX(Space_Type_Details,MATCH('Lighting Inventory'!$C38,'General Information'!$C$40:$C$60,0),12),Lookups!$L$8:$N$12,2,FALSE),"")</f>
        <v/>
      </c>
      <c r="W38" s="50" t="str">
        <f>IFERROR(VLOOKUP(INDEX(Space_Type_Details,MATCH('Lighting Inventory'!$C38,'General Information'!$C$40:$C$60,0),12),Lookups!$L$8:$N$12,3,FALSE),"")</f>
        <v/>
      </c>
      <c r="X38" s="51" t="str">
        <f>IFERROR(IF(C38="","",IF('General Information'!$D$24="Retrofit",VLOOKUP('Lighting Inventory'!I38,SVG_Factors,2,FALSE),IF('General Information'!$D$24="New Construction",VLOOKUP(VLOOKUP('General Information'!$D$23,LPD_BuildingArea,5,FALSE),SVG_Factors_NC,3,FALSE),""))),"")</f>
        <v/>
      </c>
      <c r="Y38" s="52" t="str">
        <f t="shared" si="5"/>
        <v/>
      </c>
      <c r="Z38" s="53" t="str">
        <f t="shared" si="14"/>
        <v/>
      </c>
      <c r="AA38" s="51" t="str">
        <f t="shared" si="15"/>
        <v/>
      </c>
      <c r="AB38" s="54" t="str">
        <f t="shared" si="16"/>
        <v/>
      </c>
      <c r="AC38" s="55" t="str">
        <f t="shared" si="17"/>
        <v/>
      </c>
      <c r="AD38" s="54" t="str">
        <f t="shared" si="18"/>
        <v/>
      </c>
      <c r="AE38" s="55" t="str">
        <f t="shared" si="19"/>
        <v/>
      </c>
      <c r="AF38" s="54" t="str">
        <f t="shared" si="20"/>
        <v/>
      </c>
      <c r="AG38" s="203">
        <f t="shared" si="21"/>
        <v>0</v>
      </c>
      <c r="AH38" s="203">
        <f t="shared" si="6"/>
        <v>0</v>
      </c>
      <c r="AI38" s="203">
        <f t="shared" si="7"/>
        <v>0</v>
      </c>
    </row>
    <row r="39" spans="1:35" x14ac:dyDescent="0.25">
      <c r="A39" s="197">
        <f t="shared" si="8"/>
        <v>0</v>
      </c>
      <c r="B39" s="31">
        <v>27</v>
      </c>
      <c r="C39" s="174"/>
      <c r="D39" s="175"/>
      <c r="E39" s="176"/>
      <c r="F39" s="45" t="str">
        <f t="shared" si="9"/>
        <v/>
      </c>
      <c r="G39" s="180"/>
      <c r="H39" s="46" t="str">
        <f t="shared" si="10"/>
        <v/>
      </c>
      <c r="I39" s="182"/>
      <c r="J39" s="47" t="str">
        <f>IFERROR(IF('General Information'!$D$24="New Construction",VLOOKUP(C39,Space_Type_Details,18,FALSE),VLOOKUP(E39,Wattage_Table,11,FALSE)),"")</f>
        <v/>
      </c>
      <c r="K39" s="383" t="str">
        <f>IFERROR(IF('General Information'!$D$24="New Construction",VLOOKUP(C39,Space_Type_Details,13,FALSE)/COUNTIF($C$13:$C$82,C39),VLOOKUP(J39,Wattage_Table,10,FALSE)),"")</f>
        <v/>
      </c>
      <c r="L39" s="48" t="str">
        <f>IFERROR(IF('General Information'!$D$24="New Construction",J39*K39,IF(G39="","",K39*G39)),"")</f>
        <v/>
      </c>
      <c r="M39" s="184"/>
      <c r="N39" s="45" t="str">
        <f t="shared" si="11"/>
        <v/>
      </c>
      <c r="O39" s="180"/>
      <c r="P39" s="45" t="str">
        <f t="shared" si="12"/>
        <v/>
      </c>
      <c r="Q39" s="180"/>
      <c r="R39" s="46" t="str">
        <f t="shared" si="13"/>
        <v/>
      </c>
      <c r="S39" s="182"/>
      <c r="T39" s="49" t="str">
        <f>IFERROR(IF(C39="","",IF(VLOOKUP(C39,Space_Type_Details,8,FALSE)="TRM",INDEX('General Information'!$AF$17:$AG$28,11,MATCH(N39,'General Information'!$AF$16:$AG$16,0)),HLOOKUP(VLOOKUP(C39,Space_Type_Details,8,FALSE),'General Information'!$P$15:$AG$28,13,FALSE))),"")</f>
        <v/>
      </c>
      <c r="U39" s="50" t="str">
        <f>IFERROR(IF(C39="","",IF(VLOOKUP(C39,Space_Type_Details,8,FALSE)="TRM",INDEX('General Information'!$AF$17:$AG$28,12,MATCH(N39,'General Information'!$AF$16:$AG$16,0)),HLOOKUP(VLOOKUP(C39,Space_Type_Details,8,FALSE),'General Information'!$P$15:$AG$28,14,FALSE))),"")</f>
        <v/>
      </c>
      <c r="V39" s="50" t="str">
        <f>IFERROR(VLOOKUP(INDEX(Space_Type_Details,MATCH('Lighting Inventory'!$C39,'General Information'!$C$40:$C$60,0),12),Lookups!$L$8:$N$12,2,FALSE),"")</f>
        <v/>
      </c>
      <c r="W39" s="50" t="str">
        <f>IFERROR(VLOOKUP(INDEX(Space_Type_Details,MATCH('Lighting Inventory'!$C39,'General Information'!$C$40:$C$60,0),12),Lookups!$L$8:$N$12,3,FALSE),"")</f>
        <v/>
      </c>
      <c r="X39" s="51" t="str">
        <f>IFERROR(IF(C39="","",IF('General Information'!$D$24="Retrofit",VLOOKUP('Lighting Inventory'!I39,SVG_Factors,2,FALSE),IF('General Information'!$D$24="New Construction",VLOOKUP(VLOOKUP('General Information'!$D$23,LPD_BuildingArea,5,FALSE),SVG_Factors_NC,3,FALSE),""))),"")</f>
        <v/>
      </c>
      <c r="Y39" s="52" t="str">
        <f t="shared" si="5"/>
        <v/>
      </c>
      <c r="Z39" s="53" t="str">
        <f t="shared" si="14"/>
        <v/>
      </c>
      <c r="AA39" s="51" t="str">
        <f t="shared" si="15"/>
        <v/>
      </c>
      <c r="AB39" s="54" t="str">
        <f t="shared" si="16"/>
        <v/>
      </c>
      <c r="AC39" s="55" t="str">
        <f t="shared" si="17"/>
        <v/>
      </c>
      <c r="AD39" s="54" t="str">
        <f t="shared" si="18"/>
        <v/>
      </c>
      <c r="AE39" s="55" t="str">
        <f t="shared" si="19"/>
        <v/>
      </c>
      <c r="AF39" s="54" t="str">
        <f t="shared" si="20"/>
        <v/>
      </c>
      <c r="AG39" s="203">
        <f t="shared" si="21"/>
        <v>0</v>
      </c>
      <c r="AH39" s="203">
        <f t="shared" si="6"/>
        <v>0</v>
      </c>
      <c r="AI39" s="203">
        <f t="shared" si="7"/>
        <v>0</v>
      </c>
    </row>
    <row r="40" spans="1:35" x14ac:dyDescent="0.25">
      <c r="A40" s="197">
        <f t="shared" si="8"/>
        <v>0</v>
      </c>
      <c r="B40" s="31">
        <v>28</v>
      </c>
      <c r="C40" s="174"/>
      <c r="D40" s="175"/>
      <c r="E40" s="176"/>
      <c r="F40" s="45" t="str">
        <f t="shared" si="9"/>
        <v/>
      </c>
      <c r="G40" s="180"/>
      <c r="H40" s="46" t="str">
        <f t="shared" si="10"/>
        <v/>
      </c>
      <c r="I40" s="182"/>
      <c r="J40" s="47" t="str">
        <f>IFERROR(IF('General Information'!$D$24="New Construction",VLOOKUP(C40,Space_Type_Details,18,FALSE),VLOOKUP(E40,Wattage_Table,11,FALSE)),"")</f>
        <v/>
      </c>
      <c r="K40" s="383" t="str">
        <f>IFERROR(IF('General Information'!$D$24="New Construction",VLOOKUP(C40,Space_Type_Details,13,FALSE)/COUNTIF($C$13:$C$82,C40),VLOOKUP(J40,Wattage_Table,10,FALSE)),"")</f>
        <v/>
      </c>
      <c r="L40" s="48" t="str">
        <f>IFERROR(IF('General Information'!$D$24="New Construction",J40*K40,IF(G40="","",K40*G40)),"")</f>
        <v/>
      </c>
      <c r="M40" s="184"/>
      <c r="N40" s="45" t="str">
        <f t="shared" si="11"/>
        <v/>
      </c>
      <c r="O40" s="180"/>
      <c r="P40" s="45" t="str">
        <f t="shared" si="12"/>
        <v/>
      </c>
      <c r="Q40" s="180"/>
      <c r="R40" s="46" t="str">
        <f t="shared" si="13"/>
        <v/>
      </c>
      <c r="S40" s="182"/>
      <c r="T40" s="49" t="str">
        <f>IFERROR(IF(C40="","",IF(VLOOKUP(C40,Space_Type_Details,8,FALSE)="TRM",INDEX('General Information'!$AF$17:$AG$28,11,MATCH(N40,'General Information'!$AF$16:$AG$16,0)),HLOOKUP(VLOOKUP(C40,Space_Type_Details,8,FALSE),'General Information'!$P$15:$AG$28,13,FALSE))),"")</f>
        <v/>
      </c>
      <c r="U40" s="50" t="str">
        <f>IFERROR(IF(C40="","",IF(VLOOKUP(C40,Space_Type_Details,8,FALSE)="TRM",INDEX('General Information'!$AF$17:$AG$28,12,MATCH(N40,'General Information'!$AF$16:$AG$16,0)),HLOOKUP(VLOOKUP(C40,Space_Type_Details,8,FALSE),'General Information'!$P$15:$AG$28,14,FALSE))),"")</f>
        <v/>
      </c>
      <c r="V40" s="50" t="str">
        <f>IFERROR(VLOOKUP(INDEX(Space_Type_Details,MATCH('Lighting Inventory'!$C40,'General Information'!$C$40:$C$60,0),12),Lookups!$L$8:$N$12,2,FALSE),"")</f>
        <v/>
      </c>
      <c r="W40" s="50" t="str">
        <f>IFERROR(VLOOKUP(INDEX(Space_Type_Details,MATCH('Lighting Inventory'!$C40,'General Information'!$C$40:$C$60,0),12),Lookups!$L$8:$N$12,3,FALSE),"")</f>
        <v/>
      </c>
      <c r="X40" s="51" t="str">
        <f>IFERROR(IF(C40="","",IF('General Information'!$D$24="Retrofit",VLOOKUP('Lighting Inventory'!I40,SVG_Factors,2,FALSE),IF('General Information'!$D$24="New Construction",VLOOKUP(VLOOKUP('General Information'!$D$23,LPD_BuildingArea,5,FALSE),SVG_Factors_NC,3,FALSE),""))),"")</f>
        <v/>
      </c>
      <c r="Y40" s="52" t="str">
        <f t="shared" si="5"/>
        <v/>
      </c>
      <c r="Z40" s="53" t="str">
        <f t="shared" si="14"/>
        <v/>
      </c>
      <c r="AA40" s="51" t="str">
        <f t="shared" si="15"/>
        <v/>
      </c>
      <c r="AB40" s="54" t="str">
        <f t="shared" si="16"/>
        <v/>
      </c>
      <c r="AC40" s="55" t="str">
        <f t="shared" si="17"/>
        <v/>
      </c>
      <c r="AD40" s="54" t="str">
        <f t="shared" si="18"/>
        <v/>
      </c>
      <c r="AE40" s="55" t="str">
        <f t="shared" si="19"/>
        <v/>
      </c>
      <c r="AF40" s="54" t="str">
        <f t="shared" si="20"/>
        <v/>
      </c>
      <c r="AG40" s="203">
        <f t="shared" si="21"/>
        <v>0</v>
      </c>
      <c r="AH40" s="203">
        <f t="shared" si="6"/>
        <v>0</v>
      </c>
      <c r="AI40" s="203">
        <f t="shared" si="7"/>
        <v>0</v>
      </c>
    </row>
    <row r="41" spans="1:35" x14ac:dyDescent="0.25">
      <c r="A41" s="197">
        <f t="shared" si="8"/>
        <v>0</v>
      </c>
      <c r="B41" s="31">
        <v>29</v>
      </c>
      <c r="C41" s="174"/>
      <c r="D41" s="175"/>
      <c r="E41" s="176"/>
      <c r="F41" s="45" t="str">
        <f t="shared" si="9"/>
        <v/>
      </c>
      <c r="G41" s="180"/>
      <c r="H41" s="46" t="str">
        <f t="shared" si="10"/>
        <v/>
      </c>
      <c r="I41" s="182"/>
      <c r="J41" s="47" t="str">
        <f>IFERROR(IF('General Information'!$D$24="New Construction",VLOOKUP(C41,Space_Type_Details,18,FALSE),VLOOKUP(E41,Wattage_Table,11,FALSE)),"")</f>
        <v/>
      </c>
      <c r="K41" s="383" t="str">
        <f>IFERROR(IF('General Information'!$D$24="New Construction",VLOOKUP(C41,Space_Type_Details,13,FALSE)/COUNTIF($C$13:$C$82,C41),VLOOKUP(J41,Wattage_Table,10,FALSE)),"")</f>
        <v/>
      </c>
      <c r="L41" s="48" t="str">
        <f>IFERROR(IF('General Information'!$D$24="New Construction",J41*K41,IF(G41="","",K41*G41)),"")</f>
        <v/>
      </c>
      <c r="M41" s="184"/>
      <c r="N41" s="45" t="str">
        <f t="shared" si="11"/>
        <v/>
      </c>
      <c r="O41" s="180"/>
      <c r="P41" s="45" t="str">
        <f t="shared" si="12"/>
        <v/>
      </c>
      <c r="Q41" s="180"/>
      <c r="R41" s="46" t="str">
        <f t="shared" si="13"/>
        <v/>
      </c>
      <c r="S41" s="182"/>
      <c r="T41" s="49" t="str">
        <f>IFERROR(IF(C41="","",IF(VLOOKUP(C41,Space_Type_Details,8,FALSE)="TRM",INDEX('General Information'!$AF$17:$AG$28,11,MATCH(N41,'General Information'!$AF$16:$AG$16,0)),HLOOKUP(VLOOKUP(C41,Space_Type_Details,8,FALSE),'General Information'!$P$15:$AG$28,13,FALSE))),"")</f>
        <v/>
      </c>
      <c r="U41" s="50" t="str">
        <f>IFERROR(IF(C41="","",IF(VLOOKUP(C41,Space_Type_Details,8,FALSE)="TRM",INDEX('General Information'!$AF$17:$AG$28,12,MATCH(N41,'General Information'!$AF$16:$AG$16,0)),HLOOKUP(VLOOKUP(C41,Space_Type_Details,8,FALSE),'General Information'!$P$15:$AG$28,14,FALSE))),"")</f>
        <v/>
      </c>
      <c r="V41" s="50" t="str">
        <f>IFERROR(VLOOKUP(INDEX(Space_Type_Details,MATCH('Lighting Inventory'!$C41,'General Information'!$C$40:$C$60,0),12),Lookups!$L$8:$N$12,2,FALSE),"")</f>
        <v/>
      </c>
      <c r="W41" s="50" t="str">
        <f>IFERROR(VLOOKUP(INDEX(Space_Type_Details,MATCH('Lighting Inventory'!$C41,'General Information'!$C$40:$C$60,0),12),Lookups!$L$8:$N$12,3,FALSE),"")</f>
        <v/>
      </c>
      <c r="X41" s="51" t="str">
        <f>IFERROR(IF(C41="","",IF('General Information'!$D$24="Retrofit",VLOOKUP('Lighting Inventory'!I41,SVG_Factors,2,FALSE),IF('General Information'!$D$24="New Construction",VLOOKUP(VLOOKUP('General Information'!$D$23,LPD_BuildingArea,5,FALSE),SVG_Factors_NC,3,FALSE),""))),"")</f>
        <v/>
      </c>
      <c r="Y41" s="52" t="str">
        <f t="shared" si="5"/>
        <v/>
      </c>
      <c r="Z41" s="53" t="str">
        <f t="shared" si="14"/>
        <v/>
      </c>
      <c r="AA41" s="51" t="str">
        <f t="shared" si="15"/>
        <v/>
      </c>
      <c r="AB41" s="54" t="str">
        <f t="shared" si="16"/>
        <v/>
      </c>
      <c r="AC41" s="55" t="str">
        <f t="shared" si="17"/>
        <v/>
      </c>
      <c r="AD41" s="54" t="str">
        <f t="shared" si="18"/>
        <v/>
      </c>
      <c r="AE41" s="55" t="str">
        <f t="shared" si="19"/>
        <v/>
      </c>
      <c r="AF41" s="54" t="str">
        <f t="shared" si="20"/>
        <v/>
      </c>
      <c r="AG41" s="203">
        <f t="shared" si="21"/>
        <v>0</v>
      </c>
      <c r="AH41" s="203">
        <f t="shared" si="6"/>
        <v>0</v>
      </c>
      <c r="AI41" s="203">
        <f t="shared" si="7"/>
        <v>0</v>
      </c>
    </row>
    <row r="42" spans="1:35" x14ac:dyDescent="0.25">
      <c r="A42" s="197">
        <f t="shared" si="8"/>
        <v>0</v>
      </c>
      <c r="B42" s="31">
        <v>30</v>
      </c>
      <c r="C42" s="174"/>
      <c r="D42" s="175"/>
      <c r="E42" s="176"/>
      <c r="F42" s="45" t="str">
        <f t="shared" si="9"/>
        <v/>
      </c>
      <c r="G42" s="180"/>
      <c r="H42" s="46" t="str">
        <f t="shared" si="10"/>
        <v/>
      </c>
      <c r="I42" s="182"/>
      <c r="J42" s="47" t="str">
        <f>IFERROR(IF('General Information'!$D$24="New Construction",VLOOKUP(C42,Space_Type_Details,18,FALSE),VLOOKUP(E42,Wattage_Table,11,FALSE)),"")</f>
        <v/>
      </c>
      <c r="K42" s="383" t="str">
        <f>IFERROR(IF('General Information'!$D$24="New Construction",VLOOKUP(C42,Space_Type_Details,13,FALSE)/COUNTIF($C$13:$C$82,C42),VLOOKUP(J42,Wattage_Table,10,FALSE)),"")</f>
        <v/>
      </c>
      <c r="L42" s="48" t="str">
        <f>IFERROR(IF('General Information'!$D$24="New Construction",J42*K42,IF(G42="","",K42*G42)),"")</f>
        <v/>
      </c>
      <c r="M42" s="184"/>
      <c r="N42" s="45" t="str">
        <f t="shared" si="11"/>
        <v/>
      </c>
      <c r="O42" s="180"/>
      <c r="P42" s="45" t="str">
        <f t="shared" si="12"/>
        <v/>
      </c>
      <c r="Q42" s="180"/>
      <c r="R42" s="46" t="str">
        <f t="shared" si="13"/>
        <v/>
      </c>
      <c r="S42" s="182"/>
      <c r="T42" s="49" t="str">
        <f>IFERROR(IF(C42="","",IF(VLOOKUP(C42,Space_Type_Details,8,FALSE)="TRM",INDEX('General Information'!$AF$17:$AG$28,11,MATCH(N42,'General Information'!$AF$16:$AG$16,0)),HLOOKUP(VLOOKUP(C42,Space_Type_Details,8,FALSE),'General Information'!$P$15:$AG$28,13,FALSE))),"")</f>
        <v/>
      </c>
      <c r="U42" s="50" t="str">
        <f>IFERROR(IF(C42="","",IF(VLOOKUP(C42,Space_Type_Details,8,FALSE)="TRM",INDEX('General Information'!$AF$17:$AG$28,12,MATCH(N42,'General Information'!$AF$16:$AG$16,0)),HLOOKUP(VLOOKUP(C42,Space_Type_Details,8,FALSE),'General Information'!$P$15:$AG$28,14,FALSE))),"")</f>
        <v/>
      </c>
      <c r="V42" s="50" t="str">
        <f>IFERROR(VLOOKUP(INDEX(Space_Type_Details,MATCH('Lighting Inventory'!$C42,'General Information'!$C$40:$C$60,0),12),Lookups!$L$8:$N$12,2,FALSE),"")</f>
        <v/>
      </c>
      <c r="W42" s="50" t="str">
        <f>IFERROR(VLOOKUP(INDEX(Space_Type_Details,MATCH('Lighting Inventory'!$C42,'General Information'!$C$40:$C$60,0),12),Lookups!$L$8:$N$12,3,FALSE),"")</f>
        <v/>
      </c>
      <c r="X42" s="51" t="str">
        <f>IFERROR(IF(C42="","",IF('General Information'!$D$24="Retrofit",VLOOKUP('Lighting Inventory'!I42,SVG_Factors,2,FALSE),IF('General Information'!$D$24="New Construction",VLOOKUP(VLOOKUP('General Information'!$D$23,LPD_BuildingArea,5,FALSE),SVG_Factors_NC,3,FALSE),""))),"")</f>
        <v/>
      </c>
      <c r="Y42" s="52" t="str">
        <f t="shared" si="5"/>
        <v/>
      </c>
      <c r="Z42" s="53" t="str">
        <f t="shared" si="14"/>
        <v/>
      </c>
      <c r="AA42" s="51" t="str">
        <f t="shared" si="15"/>
        <v/>
      </c>
      <c r="AB42" s="54" t="str">
        <f t="shared" si="16"/>
        <v/>
      </c>
      <c r="AC42" s="55" t="str">
        <f t="shared" si="17"/>
        <v/>
      </c>
      <c r="AD42" s="54" t="str">
        <f t="shared" si="18"/>
        <v/>
      </c>
      <c r="AE42" s="55" t="str">
        <f t="shared" si="19"/>
        <v/>
      </c>
      <c r="AF42" s="54" t="str">
        <f t="shared" si="20"/>
        <v/>
      </c>
      <c r="AG42" s="203">
        <f t="shared" si="21"/>
        <v>0</v>
      </c>
      <c r="AH42" s="203">
        <f t="shared" si="6"/>
        <v>0</v>
      </c>
      <c r="AI42" s="203">
        <f t="shared" si="7"/>
        <v>0</v>
      </c>
    </row>
    <row r="43" spans="1:35" x14ac:dyDescent="0.25">
      <c r="A43" s="197">
        <f t="shared" si="8"/>
        <v>0</v>
      </c>
      <c r="B43" s="31">
        <v>31</v>
      </c>
      <c r="C43" s="174"/>
      <c r="D43" s="175"/>
      <c r="E43" s="176"/>
      <c r="F43" s="45" t="str">
        <f t="shared" si="9"/>
        <v/>
      </c>
      <c r="G43" s="180"/>
      <c r="H43" s="46" t="str">
        <f t="shared" si="10"/>
        <v/>
      </c>
      <c r="I43" s="182"/>
      <c r="J43" s="47" t="str">
        <f>IFERROR(IF('General Information'!$D$24="New Construction",VLOOKUP(C43,Space_Type_Details,18,FALSE),VLOOKUP(E43,Wattage_Table,11,FALSE)),"")</f>
        <v/>
      </c>
      <c r="K43" s="383" t="str">
        <f>IFERROR(IF('General Information'!$D$24="New Construction",VLOOKUP(C43,Space_Type_Details,13,FALSE)/COUNTIF($C$13:$C$82,C43),VLOOKUP(J43,Wattage_Table,10,FALSE)),"")</f>
        <v/>
      </c>
      <c r="L43" s="48" t="str">
        <f>IFERROR(IF('General Information'!$D$24="New Construction",J43*K43,IF(G43="","",K43*G43)),"")</f>
        <v/>
      </c>
      <c r="M43" s="184"/>
      <c r="N43" s="45" t="str">
        <f t="shared" si="11"/>
        <v/>
      </c>
      <c r="O43" s="180"/>
      <c r="P43" s="45" t="str">
        <f t="shared" si="12"/>
        <v/>
      </c>
      <c r="Q43" s="180"/>
      <c r="R43" s="46" t="str">
        <f t="shared" si="13"/>
        <v/>
      </c>
      <c r="S43" s="182"/>
      <c r="T43" s="49" t="str">
        <f>IFERROR(IF(C43="","",IF(VLOOKUP(C43,Space_Type_Details,8,FALSE)="TRM",INDEX('General Information'!$AF$17:$AG$28,11,MATCH(N43,'General Information'!$AF$16:$AG$16,0)),HLOOKUP(VLOOKUP(C43,Space_Type_Details,8,FALSE),'General Information'!$P$15:$AG$28,13,FALSE))),"")</f>
        <v/>
      </c>
      <c r="U43" s="50" t="str">
        <f>IFERROR(IF(C43="","",IF(VLOOKUP(C43,Space_Type_Details,8,FALSE)="TRM",INDEX('General Information'!$AF$17:$AG$28,12,MATCH(N43,'General Information'!$AF$16:$AG$16,0)),HLOOKUP(VLOOKUP(C43,Space_Type_Details,8,FALSE),'General Information'!$P$15:$AG$28,14,FALSE))),"")</f>
        <v/>
      </c>
      <c r="V43" s="50" t="str">
        <f>IFERROR(VLOOKUP(INDEX(Space_Type_Details,MATCH('Lighting Inventory'!$C43,'General Information'!$C$40:$C$60,0),12),Lookups!$L$8:$N$12,2,FALSE),"")</f>
        <v/>
      </c>
      <c r="W43" s="50" t="str">
        <f>IFERROR(VLOOKUP(INDEX(Space_Type_Details,MATCH('Lighting Inventory'!$C43,'General Information'!$C$40:$C$60,0),12),Lookups!$L$8:$N$12,3,FALSE),"")</f>
        <v/>
      </c>
      <c r="X43" s="51" t="str">
        <f>IFERROR(IF(C43="","",IF('General Information'!$D$24="Retrofit",VLOOKUP('Lighting Inventory'!I43,SVG_Factors,2,FALSE),IF('General Information'!$D$24="New Construction",VLOOKUP(VLOOKUP('General Information'!$D$23,LPD_BuildingArea,5,FALSE),SVG_Factors_NC,3,FALSE),""))),"")</f>
        <v/>
      </c>
      <c r="Y43" s="52" t="str">
        <f t="shared" si="5"/>
        <v/>
      </c>
      <c r="Z43" s="53" t="str">
        <f t="shared" si="14"/>
        <v/>
      </c>
      <c r="AA43" s="51" t="str">
        <f t="shared" si="15"/>
        <v/>
      </c>
      <c r="AB43" s="54" t="str">
        <f t="shared" si="16"/>
        <v/>
      </c>
      <c r="AC43" s="55" t="str">
        <f t="shared" si="17"/>
        <v/>
      </c>
      <c r="AD43" s="54" t="str">
        <f t="shared" si="18"/>
        <v/>
      </c>
      <c r="AE43" s="55" t="str">
        <f t="shared" si="19"/>
        <v/>
      </c>
      <c r="AF43" s="54" t="str">
        <f t="shared" si="20"/>
        <v/>
      </c>
      <c r="AG43" s="203">
        <f t="shared" si="21"/>
        <v>0</v>
      </c>
      <c r="AH43" s="203">
        <f t="shared" si="6"/>
        <v>0</v>
      </c>
      <c r="AI43" s="203">
        <f t="shared" si="7"/>
        <v>0</v>
      </c>
    </row>
    <row r="44" spans="1:35" x14ac:dyDescent="0.25">
      <c r="A44" s="197">
        <f t="shared" si="8"/>
        <v>0</v>
      </c>
      <c r="B44" s="31">
        <v>32</v>
      </c>
      <c r="C44" s="174"/>
      <c r="D44" s="175"/>
      <c r="E44" s="176"/>
      <c r="F44" s="45" t="str">
        <f t="shared" si="9"/>
        <v/>
      </c>
      <c r="G44" s="180"/>
      <c r="H44" s="46" t="str">
        <f t="shared" si="10"/>
        <v/>
      </c>
      <c r="I44" s="182"/>
      <c r="J44" s="47" t="str">
        <f>IFERROR(IF('General Information'!$D$24="New Construction",VLOOKUP(C44,Space_Type_Details,18,FALSE),VLOOKUP(E44,Wattage_Table,11,FALSE)),"")</f>
        <v/>
      </c>
      <c r="K44" s="383" t="str">
        <f>IFERROR(IF('General Information'!$D$24="New Construction",VLOOKUP(C44,Space_Type_Details,13,FALSE)/COUNTIF($C$13:$C$82,C44),VLOOKUP(J44,Wattage_Table,10,FALSE)),"")</f>
        <v/>
      </c>
      <c r="L44" s="48" t="str">
        <f>IFERROR(IF('General Information'!$D$24="New Construction",J44*K44,IF(G44="","",K44*G44)),"")</f>
        <v/>
      </c>
      <c r="M44" s="184"/>
      <c r="N44" s="45" t="str">
        <f t="shared" si="11"/>
        <v/>
      </c>
      <c r="O44" s="180"/>
      <c r="P44" s="45" t="str">
        <f t="shared" si="12"/>
        <v/>
      </c>
      <c r="Q44" s="180"/>
      <c r="R44" s="46" t="str">
        <f t="shared" si="13"/>
        <v/>
      </c>
      <c r="S44" s="182"/>
      <c r="T44" s="49" t="str">
        <f>IFERROR(IF(C44="","",IF(VLOOKUP(C44,Space_Type_Details,8,FALSE)="TRM",INDEX('General Information'!$AF$17:$AG$28,11,MATCH(N44,'General Information'!$AF$16:$AG$16,0)),HLOOKUP(VLOOKUP(C44,Space_Type_Details,8,FALSE),'General Information'!$P$15:$AG$28,13,FALSE))),"")</f>
        <v/>
      </c>
      <c r="U44" s="50" t="str">
        <f>IFERROR(IF(C44="","",IF(VLOOKUP(C44,Space_Type_Details,8,FALSE)="TRM",INDEX('General Information'!$AF$17:$AG$28,12,MATCH(N44,'General Information'!$AF$16:$AG$16,0)),HLOOKUP(VLOOKUP(C44,Space_Type_Details,8,FALSE),'General Information'!$P$15:$AG$28,14,FALSE))),"")</f>
        <v/>
      </c>
      <c r="V44" s="50" t="str">
        <f>IFERROR(VLOOKUP(INDEX(Space_Type_Details,MATCH('Lighting Inventory'!$C44,'General Information'!$C$40:$C$60,0),12),Lookups!$L$8:$N$12,2,FALSE),"")</f>
        <v/>
      </c>
      <c r="W44" s="50" t="str">
        <f>IFERROR(VLOOKUP(INDEX(Space_Type_Details,MATCH('Lighting Inventory'!$C44,'General Information'!$C$40:$C$60,0),12),Lookups!$L$8:$N$12,3,FALSE),"")</f>
        <v/>
      </c>
      <c r="X44" s="51" t="str">
        <f>IFERROR(IF(C44="","",IF('General Information'!$D$24="Retrofit",VLOOKUP('Lighting Inventory'!I44,SVG_Factors,2,FALSE),IF('General Information'!$D$24="New Construction",VLOOKUP(VLOOKUP('General Information'!$D$23,LPD_BuildingArea,5,FALSE),SVG_Factors_NC,3,FALSE),""))),"")</f>
        <v/>
      </c>
      <c r="Y44" s="52" t="str">
        <f t="shared" si="5"/>
        <v/>
      </c>
      <c r="Z44" s="53" t="str">
        <f t="shared" si="14"/>
        <v/>
      </c>
      <c r="AA44" s="51" t="str">
        <f t="shared" si="15"/>
        <v/>
      </c>
      <c r="AB44" s="54" t="str">
        <f t="shared" si="16"/>
        <v/>
      </c>
      <c r="AC44" s="55" t="str">
        <f t="shared" si="17"/>
        <v/>
      </c>
      <c r="AD44" s="54" t="str">
        <f t="shared" si="18"/>
        <v/>
      </c>
      <c r="AE44" s="55" t="str">
        <f t="shared" si="19"/>
        <v/>
      </c>
      <c r="AF44" s="54" t="str">
        <f t="shared" si="20"/>
        <v/>
      </c>
      <c r="AG44" s="203">
        <f t="shared" si="21"/>
        <v>0</v>
      </c>
      <c r="AH44" s="203">
        <f t="shared" si="6"/>
        <v>0</v>
      </c>
      <c r="AI44" s="203">
        <f t="shared" si="7"/>
        <v>0</v>
      </c>
    </row>
    <row r="45" spans="1:35" x14ac:dyDescent="0.25">
      <c r="A45" s="197">
        <f t="shared" si="8"/>
        <v>0</v>
      </c>
      <c r="B45" s="31">
        <v>33</v>
      </c>
      <c r="C45" s="174"/>
      <c r="D45" s="175"/>
      <c r="E45" s="176"/>
      <c r="F45" s="45" t="str">
        <f t="shared" si="9"/>
        <v/>
      </c>
      <c r="G45" s="180"/>
      <c r="H45" s="46" t="str">
        <f t="shared" si="10"/>
        <v/>
      </c>
      <c r="I45" s="182"/>
      <c r="J45" s="47" t="str">
        <f>IFERROR(IF('General Information'!$D$24="New Construction",VLOOKUP(C45,Space_Type_Details,18,FALSE),VLOOKUP(E45,Wattage_Table,11,FALSE)),"")</f>
        <v/>
      </c>
      <c r="K45" s="383" t="str">
        <f>IFERROR(IF('General Information'!$D$24="New Construction",VLOOKUP(C45,Space_Type_Details,13,FALSE)/COUNTIF($C$13:$C$82,C45),VLOOKUP(J45,Wattage_Table,10,FALSE)),"")</f>
        <v/>
      </c>
      <c r="L45" s="48" t="str">
        <f>IFERROR(IF('General Information'!$D$24="New Construction",J45*K45,IF(G45="","",K45*G45)),"")</f>
        <v/>
      </c>
      <c r="M45" s="184"/>
      <c r="N45" s="45" t="str">
        <f t="shared" si="11"/>
        <v/>
      </c>
      <c r="O45" s="180"/>
      <c r="P45" s="45" t="str">
        <f t="shared" si="12"/>
        <v/>
      </c>
      <c r="Q45" s="180"/>
      <c r="R45" s="46" t="str">
        <f t="shared" si="13"/>
        <v/>
      </c>
      <c r="S45" s="182"/>
      <c r="T45" s="49" t="str">
        <f>IFERROR(IF(C45="","",IF(VLOOKUP(C45,Space_Type_Details,8,FALSE)="TRM",INDEX('General Information'!$AF$17:$AG$28,11,MATCH(N45,'General Information'!$AF$16:$AG$16,0)),HLOOKUP(VLOOKUP(C45,Space_Type_Details,8,FALSE),'General Information'!$P$15:$AG$28,13,FALSE))),"")</f>
        <v/>
      </c>
      <c r="U45" s="50" t="str">
        <f>IFERROR(IF(C45="","",IF(VLOOKUP(C45,Space_Type_Details,8,FALSE)="TRM",INDEX('General Information'!$AF$17:$AG$28,12,MATCH(N45,'General Information'!$AF$16:$AG$16,0)),HLOOKUP(VLOOKUP(C45,Space_Type_Details,8,FALSE),'General Information'!$P$15:$AG$28,14,FALSE))),"")</f>
        <v/>
      </c>
      <c r="V45" s="50" t="str">
        <f>IFERROR(VLOOKUP(INDEX(Space_Type_Details,MATCH('Lighting Inventory'!$C45,'General Information'!$C$40:$C$60,0),12),Lookups!$L$8:$N$12,2,FALSE),"")</f>
        <v/>
      </c>
      <c r="W45" s="50" t="str">
        <f>IFERROR(VLOOKUP(INDEX(Space_Type_Details,MATCH('Lighting Inventory'!$C45,'General Information'!$C$40:$C$60,0),12),Lookups!$L$8:$N$12,3,FALSE),"")</f>
        <v/>
      </c>
      <c r="X45" s="51" t="str">
        <f>IFERROR(IF(C45="","",IF('General Information'!$D$24="Retrofit",VLOOKUP('Lighting Inventory'!I45,SVG_Factors,2,FALSE),IF('General Information'!$D$24="New Construction",VLOOKUP(VLOOKUP('General Information'!$D$23,LPD_BuildingArea,5,FALSE),SVG_Factors_NC,3,FALSE),""))),"")</f>
        <v/>
      </c>
      <c r="Y45" s="52" t="str">
        <f t="shared" si="5"/>
        <v/>
      </c>
      <c r="Z45" s="53" t="str">
        <f t="shared" si="14"/>
        <v/>
      </c>
      <c r="AA45" s="51" t="str">
        <f t="shared" si="15"/>
        <v/>
      </c>
      <c r="AB45" s="54" t="str">
        <f t="shared" si="16"/>
        <v/>
      </c>
      <c r="AC45" s="55" t="str">
        <f t="shared" si="17"/>
        <v/>
      </c>
      <c r="AD45" s="54" t="str">
        <f t="shared" si="18"/>
        <v/>
      </c>
      <c r="AE45" s="55" t="str">
        <f t="shared" si="19"/>
        <v/>
      </c>
      <c r="AF45" s="54" t="str">
        <f t="shared" si="20"/>
        <v/>
      </c>
      <c r="AG45" s="203">
        <f t="shared" si="21"/>
        <v>0</v>
      </c>
      <c r="AH45" s="203">
        <f t="shared" si="6"/>
        <v>0</v>
      </c>
      <c r="AI45" s="203">
        <f t="shared" si="7"/>
        <v>0</v>
      </c>
    </row>
    <row r="46" spans="1:35" x14ac:dyDescent="0.25">
      <c r="A46" s="197">
        <f t="shared" si="8"/>
        <v>0</v>
      </c>
      <c r="B46" s="31">
        <v>34</v>
      </c>
      <c r="C46" s="174"/>
      <c r="D46" s="175"/>
      <c r="E46" s="176"/>
      <c r="F46" s="45" t="str">
        <f t="shared" si="9"/>
        <v/>
      </c>
      <c r="G46" s="180"/>
      <c r="H46" s="46" t="str">
        <f t="shared" si="10"/>
        <v/>
      </c>
      <c r="I46" s="182"/>
      <c r="J46" s="47" t="str">
        <f>IFERROR(IF('General Information'!$D$24="New Construction",VLOOKUP(C46,Space_Type_Details,18,FALSE),VLOOKUP(E46,Wattage_Table,11,FALSE)),"")</f>
        <v/>
      </c>
      <c r="K46" s="383" t="str">
        <f>IFERROR(IF('General Information'!$D$24="New Construction",VLOOKUP(C46,Space_Type_Details,13,FALSE)/COUNTIF($C$13:$C$82,C46),VLOOKUP(J46,Wattage_Table,10,FALSE)),"")</f>
        <v/>
      </c>
      <c r="L46" s="48" t="str">
        <f>IFERROR(IF('General Information'!$D$24="New Construction",J46*K46,IF(G46="","",K46*G46)),"")</f>
        <v/>
      </c>
      <c r="M46" s="184"/>
      <c r="N46" s="45" t="str">
        <f t="shared" si="11"/>
        <v/>
      </c>
      <c r="O46" s="180"/>
      <c r="P46" s="45" t="str">
        <f t="shared" si="12"/>
        <v/>
      </c>
      <c r="Q46" s="180"/>
      <c r="R46" s="46" t="str">
        <f t="shared" si="13"/>
        <v/>
      </c>
      <c r="S46" s="182"/>
      <c r="T46" s="49" t="str">
        <f>IFERROR(IF(C46="","",IF(VLOOKUP(C46,Space_Type_Details,8,FALSE)="TRM",INDEX('General Information'!$AF$17:$AG$28,11,MATCH(N46,'General Information'!$AF$16:$AG$16,0)),HLOOKUP(VLOOKUP(C46,Space_Type_Details,8,FALSE),'General Information'!$P$15:$AG$28,13,FALSE))),"")</f>
        <v/>
      </c>
      <c r="U46" s="50" t="str">
        <f>IFERROR(IF(C46="","",IF(VLOOKUP(C46,Space_Type_Details,8,FALSE)="TRM",INDEX('General Information'!$AF$17:$AG$28,12,MATCH(N46,'General Information'!$AF$16:$AG$16,0)),HLOOKUP(VLOOKUP(C46,Space_Type_Details,8,FALSE),'General Information'!$P$15:$AG$28,14,FALSE))),"")</f>
        <v/>
      </c>
      <c r="V46" s="50" t="str">
        <f>IFERROR(VLOOKUP(INDEX(Space_Type_Details,MATCH('Lighting Inventory'!$C46,'General Information'!$C$40:$C$60,0),12),Lookups!$L$8:$N$12,2,FALSE),"")</f>
        <v/>
      </c>
      <c r="W46" s="50" t="str">
        <f>IFERROR(VLOOKUP(INDEX(Space_Type_Details,MATCH('Lighting Inventory'!$C46,'General Information'!$C$40:$C$60,0),12),Lookups!$L$8:$N$12,3,FALSE),"")</f>
        <v/>
      </c>
      <c r="X46" s="51" t="str">
        <f>IFERROR(IF(C46="","",IF('General Information'!$D$24="Retrofit",VLOOKUP('Lighting Inventory'!I46,SVG_Factors,2,FALSE),IF('General Information'!$D$24="New Construction",VLOOKUP(VLOOKUP('General Information'!$D$23,LPD_BuildingArea,5,FALSE),SVG_Factors_NC,3,FALSE),""))),"")</f>
        <v/>
      </c>
      <c r="Y46" s="52" t="str">
        <f t="shared" si="5"/>
        <v/>
      </c>
      <c r="Z46" s="53" t="str">
        <f t="shared" si="14"/>
        <v/>
      </c>
      <c r="AA46" s="51" t="str">
        <f t="shared" si="15"/>
        <v/>
      </c>
      <c r="AB46" s="54" t="str">
        <f t="shared" si="16"/>
        <v/>
      </c>
      <c r="AC46" s="55" t="str">
        <f t="shared" si="17"/>
        <v/>
      </c>
      <c r="AD46" s="54" t="str">
        <f t="shared" si="18"/>
        <v/>
      </c>
      <c r="AE46" s="55" t="str">
        <f t="shared" si="19"/>
        <v/>
      </c>
      <c r="AF46" s="54" t="str">
        <f t="shared" si="20"/>
        <v/>
      </c>
      <c r="AG46" s="203">
        <f t="shared" si="21"/>
        <v>0</v>
      </c>
      <c r="AH46" s="203">
        <f t="shared" si="6"/>
        <v>0</v>
      </c>
      <c r="AI46" s="203">
        <f t="shared" si="7"/>
        <v>0</v>
      </c>
    </row>
    <row r="47" spans="1:35" x14ac:dyDescent="0.25">
      <c r="A47" s="197">
        <f t="shared" si="8"/>
        <v>0</v>
      </c>
      <c r="B47" s="31">
        <v>35</v>
      </c>
      <c r="C47" s="174"/>
      <c r="D47" s="175"/>
      <c r="E47" s="176"/>
      <c r="F47" s="45" t="str">
        <f t="shared" si="9"/>
        <v/>
      </c>
      <c r="G47" s="180"/>
      <c r="H47" s="46" t="str">
        <f t="shared" si="10"/>
        <v/>
      </c>
      <c r="I47" s="182"/>
      <c r="J47" s="47" t="str">
        <f>IFERROR(IF('General Information'!$D$24="New Construction",VLOOKUP(C47,Space_Type_Details,18,FALSE),VLOOKUP(E47,Wattage_Table,11,FALSE)),"")</f>
        <v/>
      </c>
      <c r="K47" s="383" t="str">
        <f>IFERROR(IF('General Information'!$D$24="New Construction",VLOOKUP(C47,Space_Type_Details,13,FALSE)/COUNTIF($C$13:$C$82,C47),VLOOKUP(J47,Wattage_Table,10,FALSE)),"")</f>
        <v/>
      </c>
      <c r="L47" s="48" t="str">
        <f>IFERROR(IF('General Information'!$D$24="New Construction",J47*K47,IF(G47="","",K47*G47)),"")</f>
        <v/>
      </c>
      <c r="M47" s="184"/>
      <c r="N47" s="45" t="str">
        <f t="shared" si="11"/>
        <v/>
      </c>
      <c r="O47" s="180"/>
      <c r="P47" s="45" t="str">
        <f t="shared" si="12"/>
        <v/>
      </c>
      <c r="Q47" s="180"/>
      <c r="R47" s="46" t="str">
        <f t="shared" si="13"/>
        <v/>
      </c>
      <c r="S47" s="182"/>
      <c r="T47" s="49" t="str">
        <f>IFERROR(IF(C47="","",IF(VLOOKUP(C47,Space_Type_Details,8,FALSE)="TRM",INDEX('General Information'!$AF$17:$AG$28,11,MATCH(N47,'General Information'!$AF$16:$AG$16,0)),HLOOKUP(VLOOKUP(C47,Space_Type_Details,8,FALSE),'General Information'!$P$15:$AG$28,13,FALSE))),"")</f>
        <v/>
      </c>
      <c r="U47" s="50" t="str">
        <f>IFERROR(IF(C47="","",IF(VLOOKUP(C47,Space_Type_Details,8,FALSE)="TRM",INDEX('General Information'!$AF$17:$AG$28,12,MATCH(N47,'General Information'!$AF$16:$AG$16,0)),HLOOKUP(VLOOKUP(C47,Space_Type_Details,8,FALSE),'General Information'!$P$15:$AG$28,14,FALSE))),"")</f>
        <v/>
      </c>
      <c r="V47" s="50" t="str">
        <f>IFERROR(VLOOKUP(INDEX(Space_Type_Details,MATCH('Lighting Inventory'!$C47,'General Information'!$C$40:$C$60,0),12),Lookups!$L$8:$N$12,2,FALSE),"")</f>
        <v/>
      </c>
      <c r="W47" s="50" t="str">
        <f>IFERROR(VLOOKUP(INDEX(Space_Type_Details,MATCH('Lighting Inventory'!$C47,'General Information'!$C$40:$C$60,0),12),Lookups!$L$8:$N$12,3,FALSE),"")</f>
        <v/>
      </c>
      <c r="X47" s="51" t="str">
        <f>IFERROR(IF(C47="","",IF('General Information'!$D$24="Retrofit",VLOOKUP('Lighting Inventory'!I47,SVG_Factors,2,FALSE),IF('General Information'!$D$24="New Construction",VLOOKUP(VLOOKUP('General Information'!$D$23,LPD_BuildingArea,5,FALSE),SVG_Factors_NC,3,FALSE),""))),"")</f>
        <v/>
      </c>
      <c r="Y47" s="52" t="str">
        <f t="shared" si="5"/>
        <v/>
      </c>
      <c r="Z47" s="53" t="str">
        <f t="shared" si="14"/>
        <v/>
      </c>
      <c r="AA47" s="51" t="str">
        <f t="shared" si="15"/>
        <v/>
      </c>
      <c r="AB47" s="54" t="str">
        <f t="shared" si="16"/>
        <v/>
      </c>
      <c r="AC47" s="55" t="str">
        <f t="shared" si="17"/>
        <v/>
      </c>
      <c r="AD47" s="54" t="str">
        <f t="shared" si="18"/>
        <v/>
      </c>
      <c r="AE47" s="55" t="str">
        <f t="shared" si="19"/>
        <v/>
      </c>
      <c r="AF47" s="54" t="str">
        <f t="shared" si="20"/>
        <v/>
      </c>
      <c r="AG47" s="203">
        <f t="shared" si="21"/>
        <v>0</v>
      </c>
      <c r="AH47" s="203">
        <f t="shared" si="6"/>
        <v>0</v>
      </c>
      <c r="AI47" s="203">
        <f t="shared" si="7"/>
        <v>0</v>
      </c>
    </row>
    <row r="48" spans="1:35" x14ac:dyDescent="0.25">
      <c r="A48" s="197">
        <f t="shared" si="8"/>
        <v>0</v>
      </c>
      <c r="B48" s="31">
        <v>36</v>
      </c>
      <c r="C48" s="174"/>
      <c r="D48" s="175"/>
      <c r="E48" s="176"/>
      <c r="F48" s="45" t="str">
        <f t="shared" si="9"/>
        <v/>
      </c>
      <c r="G48" s="180"/>
      <c r="H48" s="46" t="str">
        <f t="shared" si="10"/>
        <v/>
      </c>
      <c r="I48" s="182"/>
      <c r="J48" s="47" t="str">
        <f>IFERROR(IF('General Information'!$D$24="New Construction",VLOOKUP(C48,Space_Type_Details,18,FALSE),VLOOKUP(E48,Wattage_Table,11,FALSE)),"")</f>
        <v/>
      </c>
      <c r="K48" s="383" t="str">
        <f>IFERROR(IF('General Information'!$D$24="New Construction",VLOOKUP(C48,Space_Type_Details,13,FALSE)/COUNTIF($C$13:$C$82,C48),VLOOKUP(J48,Wattage_Table,10,FALSE)),"")</f>
        <v/>
      </c>
      <c r="L48" s="48" t="str">
        <f>IFERROR(IF('General Information'!$D$24="New Construction",J48*K48,IF(G48="","",K48*G48)),"")</f>
        <v/>
      </c>
      <c r="M48" s="184"/>
      <c r="N48" s="45" t="str">
        <f t="shared" si="11"/>
        <v/>
      </c>
      <c r="O48" s="180"/>
      <c r="P48" s="45" t="str">
        <f t="shared" si="12"/>
        <v/>
      </c>
      <c r="Q48" s="180"/>
      <c r="R48" s="46" t="str">
        <f t="shared" si="13"/>
        <v/>
      </c>
      <c r="S48" s="182"/>
      <c r="T48" s="49" t="str">
        <f>IFERROR(IF(C48="","",IF(VLOOKUP(C48,Space_Type_Details,8,FALSE)="TRM",INDEX('General Information'!$AF$17:$AG$28,11,MATCH(N48,'General Information'!$AF$16:$AG$16,0)),HLOOKUP(VLOOKUP(C48,Space_Type_Details,8,FALSE),'General Information'!$P$15:$AG$28,13,FALSE))),"")</f>
        <v/>
      </c>
      <c r="U48" s="50" t="str">
        <f>IFERROR(IF(C48="","",IF(VLOOKUP(C48,Space_Type_Details,8,FALSE)="TRM",INDEX('General Information'!$AF$17:$AG$28,12,MATCH(N48,'General Information'!$AF$16:$AG$16,0)),HLOOKUP(VLOOKUP(C48,Space_Type_Details,8,FALSE),'General Information'!$P$15:$AG$28,14,FALSE))),"")</f>
        <v/>
      </c>
      <c r="V48" s="50" t="str">
        <f>IFERROR(VLOOKUP(INDEX(Space_Type_Details,MATCH('Lighting Inventory'!$C48,'General Information'!$C$40:$C$60,0),12),Lookups!$L$8:$N$12,2,FALSE),"")</f>
        <v/>
      </c>
      <c r="W48" s="50" t="str">
        <f>IFERROR(VLOOKUP(INDEX(Space_Type_Details,MATCH('Lighting Inventory'!$C48,'General Information'!$C$40:$C$60,0),12),Lookups!$L$8:$N$12,3,FALSE),"")</f>
        <v/>
      </c>
      <c r="X48" s="51" t="str">
        <f>IFERROR(IF(C48="","",IF('General Information'!$D$24="Retrofit",VLOOKUP('Lighting Inventory'!I48,SVG_Factors,2,FALSE),IF('General Information'!$D$24="New Construction",VLOOKUP(VLOOKUP('General Information'!$D$23,LPD_BuildingArea,5,FALSE),SVG_Factors_NC,3,FALSE),""))),"")</f>
        <v/>
      </c>
      <c r="Y48" s="52" t="str">
        <f t="shared" si="5"/>
        <v/>
      </c>
      <c r="Z48" s="53" t="str">
        <f t="shared" si="14"/>
        <v/>
      </c>
      <c r="AA48" s="51" t="str">
        <f t="shared" si="15"/>
        <v/>
      </c>
      <c r="AB48" s="54" t="str">
        <f t="shared" si="16"/>
        <v/>
      </c>
      <c r="AC48" s="55" t="str">
        <f t="shared" si="17"/>
        <v/>
      </c>
      <c r="AD48" s="54" t="str">
        <f t="shared" si="18"/>
        <v/>
      </c>
      <c r="AE48" s="55" t="str">
        <f t="shared" si="19"/>
        <v/>
      </c>
      <c r="AF48" s="54" t="str">
        <f t="shared" si="20"/>
        <v/>
      </c>
      <c r="AG48" s="203">
        <f t="shared" si="21"/>
        <v>0</v>
      </c>
      <c r="AH48" s="203">
        <f t="shared" si="6"/>
        <v>0</v>
      </c>
      <c r="AI48" s="203">
        <f t="shared" si="7"/>
        <v>0</v>
      </c>
    </row>
    <row r="49" spans="1:35" x14ac:dyDescent="0.25">
      <c r="A49" s="197">
        <f t="shared" si="8"/>
        <v>0</v>
      </c>
      <c r="B49" s="31">
        <v>37</v>
      </c>
      <c r="C49" s="174"/>
      <c r="D49" s="175"/>
      <c r="E49" s="176"/>
      <c r="F49" s="45" t="str">
        <f t="shared" si="9"/>
        <v/>
      </c>
      <c r="G49" s="180"/>
      <c r="H49" s="46" t="str">
        <f t="shared" si="10"/>
        <v/>
      </c>
      <c r="I49" s="182"/>
      <c r="J49" s="47" t="str">
        <f>IFERROR(IF('General Information'!$D$24="New Construction",VLOOKUP(C49,Space_Type_Details,18,FALSE),VLOOKUP(E49,Wattage_Table,11,FALSE)),"")</f>
        <v/>
      </c>
      <c r="K49" s="383" t="str">
        <f>IFERROR(IF('General Information'!$D$24="New Construction",VLOOKUP(C49,Space_Type_Details,13,FALSE)/COUNTIF($C$13:$C$82,C49),VLOOKUP(J49,Wattage_Table,10,FALSE)),"")</f>
        <v/>
      </c>
      <c r="L49" s="48" t="str">
        <f>IFERROR(IF('General Information'!$D$24="New Construction",J49*K49,IF(G49="","",K49*G49)),"")</f>
        <v/>
      </c>
      <c r="M49" s="184"/>
      <c r="N49" s="45" t="str">
        <f t="shared" si="11"/>
        <v/>
      </c>
      <c r="O49" s="180"/>
      <c r="P49" s="45" t="str">
        <f t="shared" si="12"/>
        <v/>
      </c>
      <c r="Q49" s="180"/>
      <c r="R49" s="46" t="str">
        <f t="shared" si="13"/>
        <v/>
      </c>
      <c r="S49" s="182"/>
      <c r="T49" s="49" t="str">
        <f>IFERROR(IF(C49="","",IF(VLOOKUP(C49,Space_Type_Details,8,FALSE)="TRM",INDEX('General Information'!$AF$17:$AG$28,11,MATCH(N49,'General Information'!$AF$16:$AG$16,0)),HLOOKUP(VLOOKUP(C49,Space_Type_Details,8,FALSE),'General Information'!$P$15:$AG$28,13,FALSE))),"")</f>
        <v/>
      </c>
      <c r="U49" s="50" t="str">
        <f>IFERROR(IF(C49="","",IF(VLOOKUP(C49,Space_Type_Details,8,FALSE)="TRM",INDEX('General Information'!$AF$17:$AG$28,12,MATCH(N49,'General Information'!$AF$16:$AG$16,0)),HLOOKUP(VLOOKUP(C49,Space_Type_Details,8,FALSE),'General Information'!$P$15:$AG$28,14,FALSE))),"")</f>
        <v/>
      </c>
      <c r="V49" s="50" t="str">
        <f>IFERROR(VLOOKUP(INDEX(Space_Type_Details,MATCH('Lighting Inventory'!$C49,'General Information'!$C$40:$C$60,0),12),Lookups!$L$8:$N$12,2,FALSE),"")</f>
        <v/>
      </c>
      <c r="W49" s="50" t="str">
        <f>IFERROR(VLOOKUP(INDEX(Space_Type_Details,MATCH('Lighting Inventory'!$C49,'General Information'!$C$40:$C$60,0),12),Lookups!$L$8:$N$12,3,FALSE),"")</f>
        <v/>
      </c>
      <c r="X49" s="51" t="str">
        <f>IFERROR(IF(C49="","",IF('General Information'!$D$24="Retrofit",VLOOKUP('Lighting Inventory'!I49,SVG_Factors,2,FALSE),IF('General Information'!$D$24="New Construction",VLOOKUP(VLOOKUP('General Information'!$D$23,LPD_BuildingArea,5,FALSE),SVG_Factors_NC,3,FALSE),""))),"")</f>
        <v/>
      </c>
      <c r="Y49" s="52" t="str">
        <f t="shared" si="5"/>
        <v/>
      </c>
      <c r="Z49" s="53" t="str">
        <f t="shared" si="14"/>
        <v/>
      </c>
      <c r="AA49" s="51" t="str">
        <f t="shared" si="15"/>
        <v/>
      </c>
      <c r="AB49" s="54" t="str">
        <f t="shared" si="16"/>
        <v/>
      </c>
      <c r="AC49" s="55" t="str">
        <f t="shared" si="17"/>
        <v/>
      </c>
      <c r="AD49" s="54" t="str">
        <f t="shared" si="18"/>
        <v/>
      </c>
      <c r="AE49" s="55" t="str">
        <f t="shared" si="19"/>
        <v/>
      </c>
      <c r="AF49" s="54" t="str">
        <f t="shared" si="20"/>
        <v/>
      </c>
      <c r="AG49" s="203">
        <f t="shared" si="21"/>
        <v>0</v>
      </c>
      <c r="AH49" s="203">
        <f t="shared" si="6"/>
        <v>0</v>
      </c>
      <c r="AI49" s="203">
        <f t="shared" si="7"/>
        <v>0</v>
      </c>
    </row>
    <row r="50" spans="1:35" x14ac:dyDescent="0.25">
      <c r="A50" s="197">
        <f t="shared" si="8"/>
        <v>0</v>
      </c>
      <c r="B50" s="31">
        <v>38</v>
      </c>
      <c r="C50" s="174"/>
      <c r="D50" s="175"/>
      <c r="E50" s="176"/>
      <c r="F50" s="45" t="str">
        <f t="shared" si="9"/>
        <v/>
      </c>
      <c r="G50" s="180"/>
      <c r="H50" s="46" t="str">
        <f t="shared" si="10"/>
        <v/>
      </c>
      <c r="I50" s="182"/>
      <c r="J50" s="47" t="str">
        <f>IFERROR(IF('General Information'!$D$24="New Construction",VLOOKUP(C50,Space_Type_Details,18,FALSE),VLOOKUP(E50,Wattage_Table,11,FALSE)),"")</f>
        <v/>
      </c>
      <c r="K50" s="383" t="str">
        <f>IFERROR(IF('General Information'!$D$24="New Construction",VLOOKUP(C50,Space_Type_Details,13,FALSE)/COUNTIF($C$13:$C$82,C50),VLOOKUP(J50,Wattage_Table,10,FALSE)),"")</f>
        <v/>
      </c>
      <c r="L50" s="48" t="str">
        <f>IFERROR(IF('General Information'!$D$24="New Construction",J50*K50,IF(G50="","",K50*G50)),"")</f>
        <v/>
      </c>
      <c r="M50" s="184"/>
      <c r="N50" s="45" t="str">
        <f t="shared" si="11"/>
        <v/>
      </c>
      <c r="O50" s="180"/>
      <c r="P50" s="45" t="str">
        <f t="shared" si="12"/>
        <v/>
      </c>
      <c r="Q50" s="180"/>
      <c r="R50" s="46" t="str">
        <f t="shared" si="13"/>
        <v/>
      </c>
      <c r="S50" s="182"/>
      <c r="T50" s="49" t="str">
        <f>IFERROR(IF(C50="","",IF(VLOOKUP(C50,Space_Type_Details,8,FALSE)="TRM",INDEX('General Information'!$AF$17:$AG$28,11,MATCH(N50,'General Information'!$AF$16:$AG$16,0)),HLOOKUP(VLOOKUP(C50,Space_Type_Details,8,FALSE),'General Information'!$P$15:$AG$28,13,FALSE))),"")</f>
        <v/>
      </c>
      <c r="U50" s="50" t="str">
        <f>IFERROR(IF(C50="","",IF(VLOOKUP(C50,Space_Type_Details,8,FALSE)="TRM",INDEX('General Information'!$AF$17:$AG$28,12,MATCH(N50,'General Information'!$AF$16:$AG$16,0)),HLOOKUP(VLOOKUP(C50,Space_Type_Details,8,FALSE),'General Information'!$P$15:$AG$28,14,FALSE))),"")</f>
        <v/>
      </c>
      <c r="V50" s="50" t="str">
        <f>IFERROR(VLOOKUP(INDEX(Space_Type_Details,MATCH('Lighting Inventory'!$C50,'General Information'!$C$40:$C$60,0),12),Lookups!$L$8:$N$12,2,FALSE),"")</f>
        <v/>
      </c>
      <c r="W50" s="50" t="str">
        <f>IFERROR(VLOOKUP(INDEX(Space_Type_Details,MATCH('Lighting Inventory'!$C50,'General Information'!$C$40:$C$60,0),12),Lookups!$L$8:$N$12,3,FALSE),"")</f>
        <v/>
      </c>
      <c r="X50" s="51" t="str">
        <f>IFERROR(IF(C50="","",IF('General Information'!$D$24="Retrofit",VLOOKUP('Lighting Inventory'!I50,SVG_Factors,2,FALSE),IF('General Information'!$D$24="New Construction",VLOOKUP(VLOOKUP('General Information'!$D$23,LPD_BuildingArea,5,FALSE),SVG_Factors_NC,3,FALSE),""))),"")</f>
        <v/>
      </c>
      <c r="Y50" s="52" t="str">
        <f t="shared" si="5"/>
        <v/>
      </c>
      <c r="Z50" s="53" t="str">
        <f t="shared" si="14"/>
        <v/>
      </c>
      <c r="AA50" s="51" t="str">
        <f t="shared" si="15"/>
        <v/>
      </c>
      <c r="AB50" s="54" t="str">
        <f t="shared" si="16"/>
        <v/>
      </c>
      <c r="AC50" s="55" t="str">
        <f t="shared" si="17"/>
        <v/>
      </c>
      <c r="AD50" s="54" t="str">
        <f t="shared" si="18"/>
        <v/>
      </c>
      <c r="AE50" s="55" t="str">
        <f t="shared" si="19"/>
        <v/>
      </c>
      <c r="AF50" s="54" t="str">
        <f t="shared" si="20"/>
        <v/>
      </c>
      <c r="AG50" s="203">
        <f t="shared" si="21"/>
        <v>0</v>
      </c>
      <c r="AH50" s="203">
        <f t="shared" si="6"/>
        <v>0</v>
      </c>
      <c r="AI50" s="203">
        <f t="shared" si="7"/>
        <v>0</v>
      </c>
    </row>
    <row r="51" spans="1:35" x14ac:dyDescent="0.25">
      <c r="A51" s="197">
        <f t="shared" si="8"/>
        <v>0</v>
      </c>
      <c r="B51" s="31">
        <v>39</v>
      </c>
      <c r="C51" s="174"/>
      <c r="D51" s="175"/>
      <c r="E51" s="176"/>
      <c r="F51" s="45" t="str">
        <f t="shared" si="9"/>
        <v/>
      </c>
      <c r="G51" s="180"/>
      <c r="H51" s="46" t="str">
        <f t="shared" si="10"/>
        <v/>
      </c>
      <c r="I51" s="182"/>
      <c r="J51" s="47" t="str">
        <f>IFERROR(IF('General Information'!$D$24="New Construction",VLOOKUP(C51,Space_Type_Details,18,FALSE),VLOOKUP(E51,Wattage_Table,11,FALSE)),"")</f>
        <v/>
      </c>
      <c r="K51" s="383" t="str">
        <f>IFERROR(IF('General Information'!$D$24="New Construction",VLOOKUP(C51,Space_Type_Details,13,FALSE)/COUNTIF($C$13:$C$82,C51),VLOOKUP(J51,Wattage_Table,10,FALSE)),"")</f>
        <v/>
      </c>
      <c r="L51" s="48" t="str">
        <f>IFERROR(IF('General Information'!$D$24="New Construction",J51*K51,IF(G51="","",K51*G51)),"")</f>
        <v/>
      </c>
      <c r="M51" s="184"/>
      <c r="N51" s="45" t="str">
        <f t="shared" si="11"/>
        <v/>
      </c>
      <c r="O51" s="180"/>
      <c r="P51" s="45" t="str">
        <f t="shared" si="12"/>
        <v/>
      </c>
      <c r="Q51" s="180"/>
      <c r="R51" s="46" t="str">
        <f t="shared" si="13"/>
        <v/>
      </c>
      <c r="S51" s="182"/>
      <c r="T51" s="49" t="str">
        <f>IFERROR(IF(C51="","",IF(VLOOKUP(C51,Space_Type_Details,8,FALSE)="TRM",INDEX('General Information'!$AF$17:$AG$28,11,MATCH(N51,'General Information'!$AF$16:$AG$16,0)),HLOOKUP(VLOOKUP(C51,Space_Type_Details,8,FALSE),'General Information'!$P$15:$AG$28,13,FALSE))),"")</f>
        <v/>
      </c>
      <c r="U51" s="50" t="str">
        <f>IFERROR(IF(C51="","",IF(VLOOKUP(C51,Space_Type_Details,8,FALSE)="TRM",INDEX('General Information'!$AF$17:$AG$28,12,MATCH(N51,'General Information'!$AF$16:$AG$16,0)),HLOOKUP(VLOOKUP(C51,Space_Type_Details,8,FALSE),'General Information'!$P$15:$AG$28,14,FALSE))),"")</f>
        <v/>
      </c>
      <c r="V51" s="50" t="str">
        <f>IFERROR(VLOOKUP(INDEX(Space_Type_Details,MATCH('Lighting Inventory'!$C51,'General Information'!$C$40:$C$60,0),12),Lookups!$L$8:$N$12,2,FALSE),"")</f>
        <v/>
      </c>
      <c r="W51" s="50" t="str">
        <f>IFERROR(VLOOKUP(INDEX(Space_Type_Details,MATCH('Lighting Inventory'!$C51,'General Information'!$C$40:$C$60,0),12),Lookups!$L$8:$N$12,3,FALSE),"")</f>
        <v/>
      </c>
      <c r="X51" s="51" t="str">
        <f>IFERROR(IF(C51="","",IF('General Information'!$D$24="Retrofit",VLOOKUP('Lighting Inventory'!I51,SVG_Factors,2,FALSE),IF('General Information'!$D$24="New Construction",VLOOKUP(VLOOKUP('General Information'!$D$23,LPD_BuildingArea,5,FALSE),SVG_Factors_NC,3,FALSE),""))),"")</f>
        <v/>
      </c>
      <c r="Y51" s="52" t="str">
        <f t="shared" si="5"/>
        <v/>
      </c>
      <c r="Z51" s="53" t="str">
        <f t="shared" si="14"/>
        <v/>
      </c>
      <c r="AA51" s="51" t="str">
        <f t="shared" si="15"/>
        <v/>
      </c>
      <c r="AB51" s="54" t="str">
        <f t="shared" si="16"/>
        <v/>
      </c>
      <c r="AC51" s="55" t="str">
        <f t="shared" si="17"/>
        <v/>
      </c>
      <c r="AD51" s="54" t="str">
        <f t="shared" si="18"/>
        <v/>
      </c>
      <c r="AE51" s="55" t="str">
        <f t="shared" si="19"/>
        <v/>
      </c>
      <c r="AF51" s="54" t="str">
        <f t="shared" si="20"/>
        <v/>
      </c>
      <c r="AG51" s="203">
        <f t="shared" si="21"/>
        <v>0</v>
      </c>
      <c r="AH51" s="203">
        <f t="shared" si="6"/>
        <v>0</v>
      </c>
      <c r="AI51" s="203">
        <f t="shared" si="7"/>
        <v>0</v>
      </c>
    </row>
    <row r="52" spans="1:35" x14ac:dyDescent="0.25">
      <c r="A52" s="197">
        <f t="shared" si="8"/>
        <v>0</v>
      </c>
      <c r="B52" s="31">
        <v>40</v>
      </c>
      <c r="C52" s="174"/>
      <c r="D52" s="175"/>
      <c r="E52" s="176"/>
      <c r="F52" s="45" t="str">
        <f t="shared" si="9"/>
        <v/>
      </c>
      <c r="G52" s="180"/>
      <c r="H52" s="46" t="str">
        <f t="shared" si="10"/>
        <v/>
      </c>
      <c r="I52" s="182"/>
      <c r="J52" s="47" t="str">
        <f>IFERROR(IF('General Information'!$D$24="New Construction",VLOOKUP(C52,Space_Type_Details,18,FALSE),VLOOKUP(E52,Wattage_Table,11,FALSE)),"")</f>
        <v/>
      </c>
      <c r="K52" s="383" t="str">
        <f>IFERROR(IF('General Information'!$D$24="New Construction",VLOOKUP(C52,Space_Type_Details,13,FALSE)/COUNTIF($C$13:$C$82,C52),VLOOKUP(J52,Wattage_Table,10,FALSE)),"")</f>
        <v/>
      </c>
      <c r="L52" s="48" t="str">
        <f>IFERROR(IF('General Information'!$D$24="New Construction",J52*K52,IF(G52="","",K52*G52)),"")</f>
        <v/>
      </c>
      <c r="M52" s="184"/>
      <c r="N52" s="45" t="str">
        <f t="shared" si="11"/>
        <v/>
      </c>
      <c r="O52" s="180"/>
      <c r="P52" s="45" t="str">
        <f t="shared" si="12"/>
        <v/>
      </c>
      <c r="Q52" s="180"/>
      <c r="R52" s="46" t="str">
        <f t="shared" si="13"/>
        <v/>
      </c>
      <c r="S52" s="182"/>
      <c r="T52" s="49" t="str">
        <f>IFERROR(IF(C52="","",IF(VLOOKUP(C52,Space_Type_Details,8,FALSE)="TRM",INDEX('General Information'!$AF$17:$AG$28,11,MATCH(N52,'General Information'!$AF$16:$AG$16,0)),HLOOKUP(VLOOKUP(C52,Space_Type_Details,8,FALSE),'General Information'!$P$15:$AG$28,13,FALSE))),"")</f>
        <v/>
      </c>
      <c r="U52" s="50" t="str">
        <f>IFERROR(IF(C52="","",IF(VLOOKUP(C52,Space_Type_Details,8,FALSE)="TRM",INDEX('General Information'!$AF$17:$AG$28,12,MATCH(N52,'General Information'!$AF$16:$AG$16,0)),HLOOKUP(VLOOKUP(C52,Space_Type_Details,8,FALSE),'General Information'!$P$15:$AG$28,14,FALSE))),"")</f>
        <v/>
      </c>
      <c r="V52" s="50" t="str">
        <f>IFERROR(VLOOKUP(INDEX(Space_Type_Details,MATCH('Lighting Inventory'!$C52,'General Information'!$C$40:$C$60,0),12),Lookups!$L$8:$N$12,2,FALSE),"")</f>
        <v/>
      </c>
      <c r="W52" s="50" t="str">
        <f>IFERROR(VLOOKUP(INDEX(Space_Type_Details,MATCH('Lighting Inventory'!$C52,'General Information'!$C$40:$C$60,0),12),Lookups!$L$8:$N$12,3,FALSE),"")</f>
        <v/>
      </c>
      <c r="X52" s="51" t="str">
        <f>IFERROR(IF(C52="","",IF('General Information'!$D$24="Retrofit",VLOOKUP('Lighting Inventory'!I52,SVG_Factors,2,FALSE),IF('General Information'!$D$24="New Construction",VLOOKUP(VLOOKUP('General Information'!$D$23,LPD_BuildingArea,5,FALSE),SVG_Factors_NC,3,FALSE),""))),"")</f>
        <v/>
      </c>
      <c r="Y52" s="52" t="str">
        <f t="shared" si="5"/>
        <v/>
      </c>
      <c r="Z52" s="53" t="str">
        <f t="shared" si="14"/>
        <v/>
      </c>
      <c r="AA52" s="51" t="str">
        <f t="shared" si="15"/>
        <v/>
      </c>
      <c r="AB52" s="54" t="str">
        <f t="shared" si="16"/>
        <v/>
      </c>
      <c r="AC52" s="55" t="str">
        <f t="shared" si="17"/>
        <v/>
      </c>
      <c r="AD52" s="54" t="str">
        <f t="shared" si="18"/>
        <v/>
      </c>
      <c r="AE52" s="55" t="str">
        <f t="shared" si="19"/>
        <v/>
      </c>
      <c r="AF52" s="54" t="str">
        <f t="shared" si="20"/>
        <v/>
      </c>
      <c r="AG52" s="203">
        <f t="shared" si="21"/>
        <v>0</v>
      </c>
      <c r="AH52" s="203">
        <f t="shared" si="6"/>
        <v>0</v>
      </c>
      <c r="AI52" s="203">
        <f t="shared" si="7"/>
        <v>0</v>
      </c>
    </row>
    <row r="53" spans="1:35" x14ac:dyDescent="0.25">
      <c r="A53" s="197">
        <f t="shared" si="8"/>
        <v>0</v>
      </c>
      <c r="B53" s="31">
        <v>41</v>
      </c>
      <c r="C53" s="174"/>
      <c r="D53" s="175"/>
      <c r="E53" s="176"/>
      <c r="F53" s="45" t="str">
        <f t="shared" si="9"/>
        <v/>
      </c>
      <c r="G53" s="180"/>
      <c r="H53" s="46" t="str">
        <f t="shared" si="10"/>
        <v/>
      </c>
      <c r="I53" s="182"/>
      <c r="J53" s="47" t="str">
        <f>IFERROR(IF('General Information'!$D$24="New Construction",VLOOKUP(C53,Space_Type_Details,18,FALSE),VLOOKUP(E53,Wattage_Table,11,FALSE)),"")</f>
        <v/>
      </c>
      <c r="K53" s="383" t="str">
        <f>IFERROR(IF('General Information'!$D$24="New Construction",VLOOKUP(C53,Space_Type_Details,13,FALSE)/COUNTIF($C$13:$C$82,C53),VLOOKUP(J53,Wattage_Table,10,FALSE)),"")</f>
        <v/>
      </c>
      <c r="L53" s="48" t="str">
        <f>IFERROR(IF('General Information'!$D$24="New Construction",J53*K53,IF(G53="","",K53*G53)),"")</f>
        <v/>
      </c>
      <c r="M53" s="184"/>
      <c r="N53" s="45" t="str">
        <f t="shared" si="11"/>
        <v/>
      </c>
      <c r="O53" s="180"/>
      <c r="P53" s="45" t="str">
        <f t="shared" si="12"/>
        <v/>
      </c>
      <c r="Q53" s="180"/>
      <c r="R53" s="46" t="str">
        <f t="shared" si="13"/>
        <v/>
      </c>
      <c r="S53" s="182"/>
      <c r="T53" s="49" t="str">
        <f>IFERROR(IF(C53="","",IF(VLOOKUP(C53,Space_Type_Details,8,FALSE)="TRM",INDEX('General Information'!$AF$17:$AG$28,11,MATCH(N53,'General Information'!$AF$16:$AG$16,0)),HLOOKUP(VLOOKUP(C53,Space_Type_Details,8,FALSE),'General Information'!$P$15:$AG$28,13,FALSE))),"")</f>
        <v/>
      </c>
      <c r="U53" s="50" t="str">
        <f>IFERROR(IF(C53="","",IF(VLOOKUP(C53,Space_Type_Details,8,FALSE)="TRM",INDEX('General Information'!$AF$17:$AG$28,12,MATCH(N53,'General Information'!$AF$16:$AG$16,0)),HLOOKUP(VLOOKUP(C53,Space_Type_Details,8,FALSE),'General Information'!$P$15:$AG$28,14,FALSE))),"")</f>
        <v/>
      </c>
      <c r="V53" s="50" t="str">
        <f>IFERROR(VLOOKUP(INDEX(Space_Type_Details,MATCH('Lighting Inventory'!$C53,'General Information'!$C$40:$C$60,0),12),Lookups!$L$8:$N$12,2,FALSE),"")</f>
        <v/>
      </c>
      <c r="W53" s="50" t="str">
        <f>IFERROR(VLOOKUP(INDEX(Space_Type_Details,MATCH('Lighting Inventory'!$C53,'General Information'!$C$40:$C$60,0),12),Lookups!$L$8:$N$12,3,FALSE),"")</f>
        <v/>
      </c>
      <c r="X53" s="51" t="str">
        <f>IFERROR(IF(C53="","",IF('General Information'!$D$24="Retrofit",VLOOKUP('Lighting Inventory'!I53,SVG_Factors,2,FALSE),IF('General Information'!$D$24="New Construction",VLOOKUP(VLOOKUP('General Information'!$D$23,LPD_BuildingArea,5,FALSE),SVG_Factors_NC,3,FALSE),""))),"")</f>
        <v/>
      </c>
      <c r="Y53" s="52" t="str">
        <f t="shared" si="5"/>
        <v/>
      </c>
      <c r="Z53" s="53" t="str">
        <f t="shared" si="14"/>
        <v/>
      </c>
      <c r="AA53" s="51" t="str">
        <f t="shared" si="15"/>
        <v/>
      </c>
      <c r="AB53" s="54" t="str">
        <f t="shared" si="16"/>
        <v/>
      </c>
      <c r="AC53" s="55" t="str">
        <f t="shared" si="17"/>
        <v/>
      </c>
      <c r="AD53" s="54" t="str">
        <f t="shared" si="18"/>
        <v/>
      </c>
      <c r="AE53" s="55" t="str">
        <f t="shared" si="19"/>
        <v/>
      </c>
      <c r="AF53" s="54" t="str">
        <f t="shared" si="20"/>
        <v/>
      </c>
      <c r="AG53" s="203">
        <f t="shared" si="21"/>
        <v>0</v>
      </c>
      <c r="AH53" s="203">
        <f t="shared" si="6"/>
        <v>0</v>
      </c>
      <c r="AI53" s="203">
        <f t="shared" si="7"/>
        <v>0</v>
      </c>
    </row>
    <row r="54" spans="1:35" x14ac:dyDescent="0.25">
      <c r="A54" s="197">
        <f t="shared" si="8"/>
        <v>0</v>
      </c>
      <c r="B54" s="31">
        <v>42</v>
      </c>
      <c r="C54" s="174"/>
      <c r="D54" s="175"/>
      <c r="E54" s="176"/>
      <c r="F54" s="45" t="str">
        <f t="shared" si="9"/>
        <v/>
      </c>
      <c r="G54" s="180"/>
      <c r="H54" s="46" t="str">
        <f t="shared" si="10"/>
        <v/>
      </c>
      <c r="I54" s="182"/>
      <c r="J54" s="47" t="str">
        <f>IFERROR(IF('General Information'!$D$24="New Construction",VLOOKUP(C54,Space_Type_Details,18,FALSE),VLOOKUP(E54,Wattage_Table,11,FALSE)),"")</f>
        <v/>
      </c>
      <c r="K54" s="383" t="str">
        <f>IFERROR(IF('General Information'!$D$24="New Construction",VLOOKUP(C54,Space_Type_Details,13,FALSE)/COUNTIF($C$13:$C$82,C54),VLOOKUP(J54,Wattage_Table,10,FALSE)),"")</f>
        <v/>
      </c>
      <c r="L54" s="48" t="str">
        <f>IFERROR(IF('General Information'!$D$24="New Construction",J54*K54,IF(G54="","",K54*G54)),"")</f>
        <v/>
      </c>
      <c r="M54" s="184"/>
      <c r="N54" s="45" t="str">
        <f t="shared" si="11"/>
        <v/>
      </c>
      <c r="O54" s="180"/>
      <c r="P54" s="45" t="str">
        <f t="shared" si="12"/>
        <v/>
      </c>
      <c r="Q54" s="180"/>
      <c r="R54" s="46" t="str">
        <f t="shared" si="13"/>
        <v/>
      </c>
      <c r="S54" s="182"/>
      <c r="T54" s="49" t="str">
        <f>IFERROR(IF(C54="","",IF(VLOOKUP(C54,Space_Type_Details,8,FALSE)="TRM",INDEX('General Information'!$AF$17:$AG$28,11,MATCH(N54,'General Information'!$AF$16:$AG$16,0)),HLOOKUP(VLOOKUP(C54,Space_Type_Details,8,FALSE),'General Information'!$P$15:$AG$28,13,FALSE))),"")</f>
        <v/>
      </c>
      <c r="U54" s="50" t="str">
        <f>IFERROR(IF(C54="","",IF(VLOOKUP(C54,Space_Type_Details,8,FALSE)="TRM",INDEX('General Information'!$AF$17:$AG$28,12,MATCH(N54,'General Information'!$AF$16:$AG$16,0)),HLOOKUP(VLOOKUP(C54,Space_Type_Details,8,FALSE),'General Information'!$P$15:$AG$28,14,FALSE))),"")</f>
        <v/>
      </c>
      <c r="V54" s="50" t="str">
        <f>IFERROR(VLOOKUP(INDEX(Space_Type_Details,MATCH('Lighting Inventory'!$C54,'General Information'!$C$40:$C$60,0),12),Lookups!$L$8:$N$12,2,FALSE),"")</f>
        <v/>
      </c>
      <c r="W54" s="50" t="str">
        <f>IFERROR(VLOOKUP(INDEX(Space_Type_Details,MATCH('Lighting Inventory'!$C54,'General Information'!$C$40:$C$60,0),12),Lookups!$L$8:$N$12,3,FALSE),"")</f>
        <v/>
      </c>
      <c r="X54" s="51" t="str">
        <f>IFERROR(IF(C54="","",IF('General Information'!$D$24="Retrofit",VLOOKUP('Lighting Inventory'!I54,SVG_Factors,2,FALSE),IF('General Information'!$D$24="New Construction",VLOOKUP(VLOOKUP('General Information'!$D$23,LPD_BuildingArea,5,FALSE),SVG_Factors_NC,3,FALSE),""))),"")</f>
        <v/>
      </c>
      <c r="Y54" s="52" t="str">
        <f t="shared" si="5"/>
        <v/>
      </c>
      <c r="Z54" s="53" t="str">
        <f t="shared" si="14"/>
        <v/>
      </c>
      <c r="AA54" s="51" t="str">
        <f t="shared" si="15"/>
        <v/>
      </c>
      <c r="AB54" s="54" t="str">
        <f t="shared" si="16"/>
        <v/>
      </c>
      <c r="AC54" s="55" t="str">
        <f t="shared" si="17"/>
        <v/>
      </c>
      <c r="AD54" s="54" t="str">
        <f t="shared" si="18"/>
        <v/>
      </c>
      <c r="AE54" s="55" t="str">
        <f t="shared" si="19"/>
        <v/>
      </c>
      <c r="AF54" s="54" t="str">
        <f t="shared" si="20"/>
        <v/>
      </c>
      <c r="AG54" s="203">
        <f t="shared" si="21"/>
        <v>0</v>
      </c>
      <c r="AH54" s="203">
        <f t="shared" si="6"/>
        <v>0</v>
      </c>
      <c r="AI54" s="203">
        <f t="shared" si="7"/>
        <v>0</v>
      </c>
    </row>
    <row r="55" spans="1:35" x14ac:dyDescent="0.25">
      <c r="A55" s="197">
        <f t="shared" si="8"/>
        <v>0</v>
      </c>
      <c r="B55" s="31">
        <v>43</v>
      </c>
      <c r="C55" s="174"/>
      <c r="D55" s="175"/>
      <c r="E55" s="176"/>
      <c r="F55" s="45" t="str">
        <f t="shared" si="9"/>
        <v/>
      </c>
      <c r="G55" s="180"/>
      <c r="H55" s="46" t="str">
        <f t="shared" si="10"/>
        <v/>
      </c>
      <c r="I55" s="182"/>
      <c r="J55" s="47" t="str">
        <f>IFERROR(IF('General Information'!$D$24="New Construction",VLOOKUP(C55,Space_Type_Details,18,FALSE),VLOOKUP(E55,Wattage_Table,11,FALSE)),"")</f>
        <v/>
      </c>
      <c r="K55" s="383" t="str">
        <f>IFERROR(IF('General Information'!$D$24="New Construction",VLOOKUP(C55,Space_Type_Details,13,FALSE)/COUNTIF($C$13:$C$82,C55),VLOOKUP(J55,Wattage_Table,10,FALSE)),"")</f>
        <v/>
      </c>
      <c r="L55" s="48" t="str">
        <f>IFERROR(IF('General Information'!$D$24="New Construction",J55*K55,IF(G55="","",K55*G55)),"")</f>
        <v/>
      </c>
      <c r="M55" s="184"/>
      <c r="N55" s="45" t="str">
        <f t="shared" si="11"/>
        <v/>
      </c>
      <c r="O55" s="180"/>
      <c r="P55" s="45" t="str">
        <f t="shared" si="12"/>
        <v/>
      </c>
      <c r="Q55" s="180"/>
      <c r="R55" s="46" t="str">
        <f t="shared" si="13"/>
        <v/>
      </c>
      <c r="S55" s="182"/>
      <c r="T55" s="49" t="str">
        <f>IFERROR(IF(C55="","",IF(VLOOKUP(C55,Space_Type_Details,8,FALSE)="TRM",INDEX('General Information'!$AF$17:$AG$28,11,MATCH(N55,'General Information'!$AF$16:$AG$16,0)),HLOOKUP(VLOOKUP(C55,Space_Type_Details,8,FALSE),'General Information'!$P$15:$AG$28,13,FALSE))),"")</f>
        <v/>
      </c>
      <c r="U55" s="50" t="str">
        <f>IFERROR(IF(C55="","",IF(VLOOKUP(C55,Space_Type_Details,8,FALSE)="TRM",INDEX('General Information'!$AF$17:$AG$28,12,MATCH(N55,'General Information'!$AF$16:$AG$16,0)),HLOOKUP(VLOOKUP(C55,Space_Type_Details,8,FALSE),'General Information'!$P$15:$AG$28,14,FALSE))),"")</f>
        <v/>
      </c>
      <c r="V55" s="50" t="str">
        <f>IFERROR(VLOOKUP(INDEX(Space_Type_Details,MATCH('Lighting Inventory'!$C55,'General Information'!$C$40:$C$60,0),12),Lookups!$L$8:$N$12,2,FALSE),"")</f>
        <v/>
      </c>
      <c r="W55" s="50" t="str">
        <f>IFERROR(VLOOKUP(INDEX(Space_Type_Details,MATCH('Lighting Inventory'!$C55,'General Information'!$C$40:$C$60,0),12),Lookups!$L$8:$N$12,3,FALSE),"")</f>
        <v/>
      </c>
      <c r="X55" s="51" t="str">
        <f>IFERROR(IF(C55="","",IF('General Information'!$D$24="Retrofit",VLOOKUP('Lighting Inventory'!I55,SVG_Factors,2,FALSE),IF('General Information'!$D$24="New Construction",VLOOKUP(VLOOKUP('General Information'!$D$23,LPD_BuildingArea,5,FALSE),SVG_Factors_NC,3,FALSE),""))),"")</f>
        <v/>
      </c>
      <c r="Y55" s="52" t="str">
        <f t="shared" si="5"/>
        <v/>
      </c>
      <c r="Z55" s="53" t="str">
        <f t="shared" si="14"/>
        <v/>
      </c>
      <c r="AA55" s="51" t="str">
        <f t="shared" si="15"/>
        <v/>
      </c>
      <c r="AB55" s="54" t="str">
        <f t="shared" si="16"/>
        <v/>
      </c>
      <c r="AC55" s="55" t="str">
        <f t="shared" si="17"/>
        <v/>
      </c>
      <c r="AD55" s="54" t="str">
        <f t="shared" si="18"/>
        <v/>
      </c>
      <c r="AE55" s="55" t="str">
        <f t="shared" si="19"/>
        <v/>
      </c>
      <c r="AF55" s="54" t="str">
        <f t="shared" si="20"/>
        <v/>
      </c>
      <c r="AG55" s="203">
        <f t="shared" si="21"/>
        <v>0</v>
      </c>
      <c r="AH55" s="203">
        <f t="shared" si="6"/>
        <v>0</v>
      </c>
      <c r="AI55" s="203">
        <f t="shared" si="7"/>
        <v>0</v>
      </c>
    </row>
    <row r="56" spans="1:35" x14ac:dyDescent="0.25">
      <c r="A56" s="197">
        <f t="shared" si="8"/>
        <v>0</v>
      </c>
      <c r="B56" s="31">
        <v>44</v>
      </c>
      <c r="C56" s="174"/>
      <c r="D56" s="175"/>
      <c r="E56" s="176"/>
      <c r="F56" s="45" t="str">
        <f t="shared" si="9"/>
        <v/>
      </c>
      <c r="G56" s="180"/>
      <c r="H56" s="46" t="str">
        <f t="shared" si="10"/>
        <v/>
      </c>
      <c r="I56" s="182"/>
      <c r="J56" s="47" t="str">
        <f>IFERROR(IF('General Information'!$D$24="New Construction",VLOOKUP(C56,Space_Type_Details,18,FALSE),VLOOKUP(E56,Wattage_Table,11,FALSE)),"")</f>
        <v/>
      </c>
      <c r="K56" s="383" t="str">
        <f>IFERROR(IF('General Information'!$D$24="New Construction",VLOOKUP(C56,Space_Type_Details,13,FALSE)/COUNTIF($C$13:$C$82,C56),VLOOKUP(J56,Wattage_Table,10,FALSE)),"")</f>
        <v/>
      </c>
      <c r="L56" s="48" t="str">
        <f>IFERROR(IF('General Information'!$D$24="New Construction",J56*K56,IF(G56="","",K56*G56)),"")</f>
        <v/>
      </c>
      <c r="M56" s="184"/>
      <c r="N56" s="45" t="str">
        <f t="shared" si="11"/>
        <v/>
      </c>
      <c r="O56" s="180"/>
      <c r="P56" s="45" t="str">
        <f t="shared" si="12"/>
        <v/>
      </c>
      <c r="Q56" s="180"/>
      <c r="R56" s="46" t="str">
        <f t="shared" si="13"/>
        <v/>
      </c>
      <c r="S56" s="182"/>
      <c r="T56" s="49" t="str">
        <f>IFERROR(IF(C56="","",IF(VLOOKUP(C56,Space_Type_Details,8,FALSE)="TRM",INDEX('General Information'!$AF$17:$AG$28,11,MATCH(N56,'General Information'!$AF$16:$AG$16,0)),HLOOKUP(VLOOKUP(C56,Space_Type_Details,8,FALSE),'General Information'!$P$15:$AG$28,13,FALSE))),"")</f>
        <v/>
      </c>
      <c r="U56" s="50" t="str">
        <f>IFERROR(IF(C56="","",IF(VLOOKUP(C56,Space_Type_Details,8,FALSE)="TRM",INDEX('General Information'!$AF$17:$AG$28,12,MATCH(N56,'General Information'!$AF$16:$AG$16,0)),HLOOKUP(VLOOKUP(C56,Space_Type_Details,8,FALSE),'General Information'!$P$15:$AG$28,14,FALSE))),"")</f>
        <v/>
      </c>
      <c r="V56" s="50" t="str">
        <f>IFERROR(VLOOKUP(INDEX(Space_Type_Details,MATCH('Lighting Inventory'!$C56,'General Information'!$C$40:$C$60,0),12),Lookups!$L$8:$N$12,2,FALSE),"")</f>
        <v/>
      </c>
      <c r="W56" s="50" t="str">
        <f>IFERROR(VLOOKUP(INDEX(Space_Type_Details,MATCH('Lighting Inventory'!$C56,'General Information'!$C$40:$C$60,0),12),Lookups!$L$8:$N$12,3,FALSE),"")</f>
        <v/>
      </c>
      <c r="X56" s="51" t="str">
        <f>IFERROR(IF(C56="","",IF('General Information'!$D$24="Retrofit",VLOOKUP('Lighting Inventory'!I56,SVG_Factors,2,FALSE),IF('General Information'!$D$24="New Construction",VLOOKUP(VLOOKUP('General Information'!$D$23,LPD_BuildingArea,5,FALSE),SVG_Factors_NC,3,FALSE),""))),"")</f>
        <v/>
      </c>
      <c r="Y56" s="52" t="str">
        <f t="shared" si="5"/>
        <v/>
      </c>
      <c r="Z56" s="53" t="str">
        <f t="shared" si="14"/>
        <v/>
      </c>
      <c r="AA56" s="51" t="str">
        <f t="shared" si="15"/>
        <v/>
      </c>
      <c r="AB56" s="54" t="str">
        <f t="shared" si="16"/>
        <v/>
      </c>
      <c r="AC56" s="55" t="str">
        <f t="shared" si="17"/>
        <v/>
      </c>
      <c r="AD56" s="54" t="str">
        <f t="shared" si="18"/>
        <v/>
      </c>
      <c r="AE56" s="55" t="str">
        <f t="shared" si="19"/>
        <v/>
      </c>
      <c r="AF56" s="54" t="str">
        <f t="shared" si="20"/>
        <v/>
      </c>
      <c r="AG56" s="203">
        <f t="shared" si="21"/>
        <v>0</v>
      </c>
      <c r="AH56" s="203">
        <f t="shared" si="6"/>
        <v>0</v>
      </c>
      <c r="AI56" s="203">
        <f t="shared" si="7"/>
        <v>0</v>
      </c>
    </row>
    <row r="57" spans="1:35" x14ac:dyDescent="0.25">
      <c r="A57" s="197">
        <f t="shared" si="8"/>
        <v>0</v>
      </c>
      <c r="B57" s="31">
        <v>45</v>
      </c>
      <c r="C57" s="174"/>
      <c r="D57" s="175"/>
      <c r="E57" s="176"/>
      <c r="F57" s="45" t="str">
        <f t="shared" si="9"/>
        <v/>
      </c>
      <c r="G57" s="180"/>
      <c r="H57" s="46" t="str">
        <f t="shared" si="10"/>
        <v/>
      </c>
      <c r="I57" s="182"/>
      <c r="J57" s="47" t="str">
        <f>IFERROR(IF('General Information'!$D$24="New Construction",VLOOKUP(C57,Space_Type_Details,18,FALSE),VLOOKUP(E57,Wattage_Table,11,FALSE)),"")</f>
        <v/>
      </c>
      <c r="K57" s="383" t="str">
        <f>IFERROR(IF('General Information'!$D$24="New Construction",VLOOKUP(C57,Space_Type_Details,13,FALSE)/COUNTIF($C$13:$C$82,C57),VLOOKUP(J57,Wattage_Table,10,FALSE)),"")</f>
        <v/>
      </c>
      <c r="L57" s="48" t="str">
        <f>IFERROR(IF('General Information'!$D$24="New Construction",J57*K57,IF(G57="","",K57*G57)),"")</f>
        <v/>
      </c>
      <c r="M57" s="184"/>
      <c r="N57" s="45" t="str">
        <f t="shared" si="11"/>
        <v/>
      </c>
      <c r="O57" s="180"/>
      <c r="P57" s="45" t="str">
        <f t="shared" si="12"/>
        <v/>
      </c>
      <c r="Q57" s="180"/>
      <c r="R57" s="46" t="str">
        <f t="shared" si="13"/>
        <v/>
      </c>
      <c r="S57" s="182"/>
      <c r="T57" s="49" t="str">
        <f>IFERROR(IF(C57="","",IF(VLOOKUP(C57,Space_Type_Details,8,FALSE)="TRM",INDEX('General Information'!$AF$17:$AG$28,11,MATCH(N57,'General Information'!$AF$16:$AG$16,0)),HLOOKUP(VLOOKUP(C57,Space_Type_Details,8,FALSE),'General Information'!$P$15:$AG$28,13,FALSE))),"")</f>
        <v/>
      </c>
      <c r="U57" s="50" t="str">
        <f>IFERROR(IF(C57="","",IF(VLOOKUP(C57,Space_Type_Details,8,FALSE)="TRM",INDEX('General Information'!$AF$17:$AG$28,12,MATCH(N57,'General Information'!$AF$16:$AG$16,0)),HLOOKUP(VLOOKUP(C57,Space_Type_Details,8,FALSE),'General Information'!$P$15:$AG$28,14,FALSE))),"")</f>
        <v/>
      </c>
      <c r="V57" s="50" t="str">
        <f>IFERROR(VLOOKUP(INDEX(Space_Type_Details,MATCH('Lighting Inventory'!$C57,'General Information'!$C$40:$C$60,0),12),Lookups!$L$8:$N$12,2,FALSE),"")</f>
        <v/>
      </c>
      <c r="W57" s="50" t="str">
        <f>IFERROR(VLOOKUP(INDEX(Space_Type_Details,MATCH('Lighting Inventory'!$C57,'General Information'!$C$40:$C$60,0),12),Lookups!$L$8:$N$12,3,FALSE),"")</f>
        <v/>
      </c>
      <c r="X57" s="51" t="str">
        <f>IFERROR(IF(C57="","",IF('General Information'!$D$24="Retrofit",VLOOKUP('Lighting Inventory'!I57,SVG_Factors,2,FALSE),IF('General Information'!$D$24="New Construction",VLOOKUP(VLOOKUP('General Information'!$D$23,LPD_BuildingArea,5,FALSE),SVG_Factors_NC,3,FALSE),""))),"")</f>
        <v/>
      </c>
      <c r="Y57" s="52" t="str">
        <f t="shared" si="5"/>
        <v/>
      </c>
      <c r="Z57" s="53" t="str">
        <f t="shared" si="14"/>
        <v/>
      </c>
      <c r="AA57" s="51" t="str">
        <f t="shared" si="15"/>
        <v/>
      </c>
      <c r="AB57" s="54" t="str">
        <f t="shared" si="16"/>
        <v/>
      </c>
      <c r="AC57" s="55" t="str">
        <f t="shared" si="17"/>
        <v/>
      </c>
      <c r="AD57" s="54" t="str">
        <f t="shared" si="18"/>
        <v/>
      </c>
      <c r="AE57" s="55" t="str">
        <f t="shared" si="19"/>
        <v/>
      </c>
      <c r="AF57" s="54" t="str">
        <f t="shared" si="20"/>
        <v/>
      </c>
      <c r="AG57" s="203">
        <f t="shared" si="21"/>
        <v>0</v>
      </c>
      <c r="AH57" s="203">
        <f t="shared" si="6"/>
        <v>0</v>
      </c>
      <c r="AI57" s="203">
        <f t="shared" si="7"/>
        <v>0</v>
      </c>
    </row>
    <row r="58" spans="1:35" x14ac:dyDescent="0.25">
      <c r="A58" s="197">
        <f t="shared" si="8"/>
        <v>0</v>
      </c>
      <c r="B58" s="31">
        <v>46</v>
      </c>
      <c r="C58" s="174"/>
      <c r="D58" s="175"/>
      <c r="E58" s="176"/>
      <c r="F58" s="45" t="str">
        <f t="shared" si="9"/>
        <v/>
      </c>
      <c r="G58" s="180"/>
      <c r="H58" s="46" t="str">
        <f t="shared" si="10"/>
        <v/>
      </c>
      <c r="I58" s="182"/>
      <c r="J58" s="47" t="str">
        <f>IFERROR(IF('General Information'!$D$24="New Construction",VLOOKUP(C58,Space_Type_Details,18,FALSE),VLOOKUP(E58,Wattage_Table,11,FALSE)),"")</f>
        <v/>
      </c>
      <c r="K58" s="383" t="str">
        <f>IFERROR(IF('General Information'!$D$24="New Construction",VLOOKUP(C58,Space_Type_Details,13,FALSE)/COUNTIF($C$13:$C$82,C58),VLOOKUP(J58,Wattage_Table,10,FALSE)),"")</f>
        <v/>
      </c>
      <c r="L58" s="48" t="str">
        <f>IFERROR(IF('General Information'!$D$24="New Construction",J58*K58,IF(G58="","",K58*G58)),"")</f>
        <v/>
      </c>
      <c r="M58" s="184"/>
      <c r="N58" s="45" t="str">
        <f t="shared" si="11"/>
        <v/>
      </c>
      <c r="O58" s="180"/>
      <c r="P58" s="45" t="str">
        <f t="shared" si="12"/>
        <v/>
      </c>
      <c r="Q58" s="180"/>
      <c r="R58" s="46" t="str">
        <f t="shared" si="13"/>
        <v/>
      </c>
      <c r="S58" s="182"/>
      <c r="T58" s="49" t="str">
        <f>IFERROR(IF(C58="","",IF(VLOOKUP(C58,Space_Type_Details,8,FALSE)="TRM",INDEX('General Information'!$AF$17:$AG$28,11,MATCH(N58,'General Information'!$AF$16:$AG$16,0)),HLOOKUP(VLOOKUP(C58,Space_Type_Details,8,FALSE),'General Information'!$P$15:$AG$28,13,FALSE))),"")</f>
        <v/>
      </c>
      <c r="U58" s="50" t="str">
        <f>IFERROR(IF(C58="","",IF(VLOOKUP(C58,Space_Type_Details,8,FALSE)="TRM",INDEX('General Information'!$AF$17:$AG$28,12,MATCH(N58,'General Information'!$AF$16:$AG$16,0)),HLOOKUP(VLOOKUP(C58,Space_Type_Details,8,FALSE),'General Information'!$P$15:$AG$28,14,FALSE))),"")</f>
        <v/>
      </c>
      <c r="V58" s="50" t="str">
        <f>IFERROR(VLOOKUP(INDEX(Space_Type_Details,MATCH('Lighting Inventory'!$C58,'General Information'!$C$40:$C$60,0),12),Lookups!$L$8:$N$12,2,FALSE),"")</f>
        <v/>
      </c>
      <c r="W58" s="50" t="str">
        <f>IFERROR(VLOOKUP(INDEX(Space_Type_Details,MATCH('Lighting Inventory'!$C58,'General Information'!$C$40:$C$60,0),12),Lookups!$L$8:$N$12,3,FALSE),"")</f>
        <v/>
      </c>
      <c r="X58" s="51" t="str">
        <f>IFERROR(IF(C58="","",IF('General Information'!$D$24="Retrofit",VLOOKUP('Lighting Inventory'!I58,SVG_Factors,2,FALSE),IF('General Information'!$D$24="New Construction",VLOOKUP(VLOOKUP('General Information'!$D$23,LPD_BuildingArea,5,FALSE),SVG_Factors_NC,3,FALSE),""))),"")</f>
        <v/>
      </c>
      <c r="Y58" s="52" t="str">
        <f t="shared" si="5"/>
        <v/>
      </c>
      <c r="Z58" s="53" t="str">
        <f t="shared" si="14"/>
        <v/>
      </c>
      <c r="AA58" s="51" t="str">
        <f t="shared" si="15"/>
        <v/>
      </c>
      <c r="AB58" s="54" t="str">
        <f t="shared" si="16"/>
        <v/>
      </c>
      <c r="AC58" s="55" t="str">
        <f t="shared" si="17"/>
        <v/>
      </c>
      <c r="AD58" s="54" t="str">
        <f t="shared" si="18"/>
        <v/>
      </c>
      <c r="AE58" s="55" t="str">
        <f t="shared" si="19"/>
        <v/>
      </c>
      <c r="AF58" s="54" t="str">
        <f t="shared" si="20"/>
        <v/>
      </c>
      <c r="AG58" s="203">
        <f t="shared" si="21"/>
        <v>0</v>
      </c>
      <c r="AH58" s="203">
        <f t="shared" si="6"/>
        <v>0</v>
      </c>
      <c r="AI58" s="203">
        <f t="shared" si="7"/>
        <v>0</v>
      </c>
    </row>
    <row r="59" spans="1:35" x14ac:dyDescent="0.25">
      <c r="A59" s="197">
        <f t="shared" si="8"/>
        <v>0</v>
      </c>
      <c r="B59" s="31">
        <v>47</v>
      </c>
      <c r="C59" s="174"/>
      <c r="D59" s="175"/>
      <c r="E59" s="176"/>
      <c r="F59" s="45" t="str">
        <f t="shared" si="9"/>
        <v/>
      </c>
      <c r="G59" s="180"/>
      <c r="H59" s="46" t="str">
        <f t="shared" si="10"/>
        <v/>
      </c>
      <c r="I59" s="182"/>
      <c r="J59" s="47" t="str">
        <f>IFERROR(IF('General Information'!$D$24="New Construction",VLOOKUP(C59,Space_Type_Details,18,FALSE),VLOOKUP(E59,Wattage_Table,11,FALSE)),"")</f>
        <v/>
      </c>
      <c r="K59" s="383" t="str">
        <f>IFERROR(IF('General Information'!$D$24="New Construction",VLOOKUP(C59,Space_Type_Details,13,FALSE)/COUNTIF($C$13:$C$82,C59),VLOOKUP(J59,Wattage_Table,10,FALSE)),"")</f>
        <v/>
      </c>
      <c r="L59" s="48" t="str">
        <f>IFERROR(IF('General Information'!$D$24="New Construction",J59*K59,IF(G59="","",K59*G59)),"")</f>
        <v/>
      </c>
      <c r="M59" s="184"/>
      <c r="N59" s="45" t="str">
        <f t="shared" si="11"/>
        <v/>
      </c>
      <c r="O59" s="180"/>
      <c r="P59" s="45" t="str">
        <f t="shared" si="12"/>
        <v/>
      </c>
      <c r="Q59" s="180"/>
      <c r="R59" s="46" t="str">
        <f t="shared" si="13"/>
        <v/>
      </c>
      <c r="S59" s="182"/>
      <c r="T59" s="49" t="str">
        <f>IFERROR(IF(C59="","",IF(VLOOKUP(C59,Space_Type_Details,8,FALSE)="TRM",INDEX('General Information'!$AF$17:$AG$28,11,MATCH(N59,'General Information'!$AF$16:$AG$16,0)),HLOOKUP(VLOOKUP(C59,Space_Type_Details,8,FALSE),'General Information'!$P$15:$AG$28,13,FALSE))),"")</f>
        <v/>
      </c>
      <c r="U59" s="50" t="str">
        <f>IFERROR(IF(C59="","",IF(VLOOKUP(C59,Space_Type_Details,8,FALSE)="TRM",INDEX('General Information'!$AF$17:$AG$28,12,MATCH(N59,'General Information'!$AF$16:$AG$16,0)),HLOOKUP(VLOOKUP(C59,Space_Type_Details,8,FALSE),'General Information'!$P$15:$AG$28,14,FALSE))),"")</f>
        <v/>
      </c>
      <c r="V59" s="50" t="str">
        <f>IFERROR(VLOOKUP(INDEX(Space_Type_Details,MATCH('Lighting Inventory'!$C59,'General Information'!$C$40:$C$60,0),12),Lookups!$L$8:$N$12,2,FALSE),"")</f>
        <v/>
      </c>
      <c r="W59" s="50" t="str">
        <f>IFERROR(VLOOKUP(INDEX(Space_Type_Details,MATCH('Lighting Inventory'!$C59,'General Information'!$C$40:$C$60,0),12),Lookups!$L$8:$N$12,3,FALSE),"")</f>
        <v/>
      </c>
      <c r="X59" s="51" t="str">
        <f>IFERROR(IF(C59="","",IF('General Information'!$D$24="Retrofit",VLOOKUP('Lighting Inventory'!I59,SVG_Factors,2,FALSE),IF('General Information'!$D$24="New Construction",VLOOKUP(VLOOKUP('General Information'!$D$23,LPD_BuildingArea,5,FALSE),SVG_Factors_NC,3,FALSE),""))),"")</f>
        <v/>
      </c>
      <c r="Y59" s="52" t="str">
        <f t="shared" si="5"/>
        <v/>
      </c>
      <c r="Z59" s="53" t="str">
        <f t="shared" si="14"/>
        <v/>
      </c>
      <c r="AA59" s="51" t="str">
        <f t="shared" si="15"/>
        <v/>
      </c>
      <c r="AB59" s="54" t="str">
        <f t="shared" si="16"/>
        <v/>
      </c>
      <c r="AC59" s="55" t="str">
        <f t="shared" si="17"/>
        <v/>
      </c>
      <c r="AD59" s="54" t="str">
        <f t="shared" si="18"/>
        <v/>
      </c>
      <c r="AE59" s="55" t="str">
        <f t="shared" si="19"/>
        <v/>
      </c>
      <c r="AF59" s="54" t="str">
        <f t="shared" si="20"/>
        <v/>
      </c>
      <c r="AG59" s="203">
        <f t="shared" si="21"/>
        <v>0</v>
      </c>
      <c r="AH59" s="203">
        <f t="shared" si="6"/>
        <v>0</v>
      </c>
      <c r="AI59" s="203">
        <f t="shared" si="7"/>
        <v>0</v>
      </c>
    </row>
    <row r="60" spans="1:35" x14ac:dyDescent="0.25">
      <c r="A60" s="197">
        <f t="shared" si="8"/>
        <v>0</v>
      </c>
      <c r="B60" s="31">
        <v>48</v>
      </c>
      <c r="C60" s="174"/>
      <c r="D60" s="175"/>
      <c r="E60" s="176"/>
      <c r="F60" s="45" t="str">
        <f t="shared" si="9"/>
        <v/>
      </c>
      <c r="G60" s="180"/>
      <c r="H60" s="46" t="str">
        <f t="shared" si="10"/>
        <v/>
      </c>
      <c r="I60" s="182"/>
      <c r="J60" s="47" t="str">
        <f>IFERROR(IF('General Information'!$D$24="New Construction",VLOOKUP(C60,Space_Type_Details,18,FALSE),VLOOKUP(E60,Wattage_Table,11,FALSE)),"")</f>
        <v/>
      </c>
      <c r="K60" s="383" t="str">
        <f>IFERROR(IF('General Information'!$D$24="New Construction",VLOOKUP(C60,Space_Type_Details,13,FALSE)/COUNTIF($C$13:$C$82,C60),VLOOKUP(J60,Wattage_Table,10,FALSE)),"")</f>
        <v/>
      </c>
      <c r="L60" s="48" t="str">
        <f>IFERROR(IF('General Information'!$D$24="New Construction",J60*K60,IF(G60="","",K60*G60)),"")</f>
        <v/>
      </c>
      <c r="M60" s="184"/>
      <c r="N60" s="45" t="str">
        <f t="shared" si="11"/>
        <v/>
      </c>
      <c r="O60" s="180"/>
      <c r="P60" s="45" t="str">
        <f t="shared" si="12"/>
        <v/>
      </c>
      <c r="Q60" s="180"/>
      <c r="R60" s="46" t="str">
        <f t="shared" si="13"/>
        <v/>
      </c>
      <c r="S60" s="182"/>
      <c r="T60" s="49" t="str">
        <f>IFERROR(IF(C60="","",IF(VLOOKUP(C60,Space_Type_Details,8,FALSE)="TRM",INDEX('General Information'!$AF$17:$AG$28,11,MATCH(N60,'General Information'!$AF$16:$AG$16,0)),HLOOKUP(VLOOKUP(C60,Space_Type_Details,8,FALSE),'General Information'!$P$15:$AG$28,13,FALSE))),"")</f>
        <v/>
      </c>
      <c r="U60" s="50" t="str">
        <f>IFERROR(IF(C60="","",IF(VLOOKUP(C60,Space_Type_Details,8,FALSE)="TRM",INDEX('General Information'!$AF$17:$AG$28,12,MATCH(N60,'General Information'!$AF$16:$AG$16,0)),HLOOKUP(VLOOKUP(C60,Space_Type_Details,8,FALSE),'General Information'!$P$15:$AG$28,14,FALSE))),"")</f>
        <v/>
      </c>
      <c r="V60" s="50" t="str">
        <f>IFERROR(VLOOKUP(INDEX(Space_Type_Details,MATCH('Lighting Inventory'!$C60,'General Information'!$C$40:$C$60,0),12),Lookups!$L$8:$N$12,2,FALSE),"")</f>
        <v/>
      </c>
      <c r="W60" s="50" t="str">
        <f>IFERROR(VLOOKUP(INDEX(Space_Type_Details,MATCH('Lighting Inventory'!$C60,'General Information'!$C$40:$C$60,0),12),Lookups!$L$8:$N$12,3,FALSE),"")</f>
        <v/>
      </c>
      <c r="X60" s="51" t="str">
        <f>IFERROR(IF(C60="","",IF('General Information'!$D$24="Retrofit",VLOOKUP('Lighting Inventory'!I60,SVG_Factors,2,FALSE),IF('General Information'!$D$24="New Construction",VLOOKUP(VLOOKUP('General Information'!$D$23,LPD_BuildingArea,5,FALSE),SVG_Factors_NC,3,FALSE),""))),"")</f>
        <v/>
      </c>
      <c r="Y60" s="52" t="str">
        <f t="shared" si="5"/>
        <v/>
      </c>
      <c r="Z60" s="53" t="str">
        <f t="shared" si="14"/>
        <v/>
      </c>
      <c r="AA60" s="51" t="str">
        <f t="shared" si="15"/>
        <v/>
      </c>
      <c r="AB60" s="54" t="str">
        <f t="shared" si="16"/>
        <v/>
      </c>
      <c r="AC60" s="55" t="str">
        <f t="shared" si="17"/>
        <v/>
      </c>
      <c r="AD60" s="54" t="str">
        <f t="shared" si="18"/>
        <v/>
      </c>
      <c r="AE60" s="55" t="str">
        <f t="shared" si="19"/>
        <v/>
      </c>
      <c r="AF60" s="54" t="str">
        <f t="shared" si="20"/>
        <v/>
      </c>
      <c r="AG60" s="203">
        <f t="shared" si="21"/>
        <v>0</v>
      </c>
      <c r="AH60" s="203">
        <f t="shared" si="6"/>
        <v>0</v>
      </c>
      <c r="AI60" s="203">
        <f t="shared" si="7"/>
        <v>0</v>
      </c>
    </row>
    <row r="61" spans="1:35" x14ac:dyDescent="0.25">
      <c r="A61" s="197">
        <f t="shared" si="8"/>
        <v>0</v>
      </c>
      <c r="B61" s="31">
        <v>49</v>
      </c>
      <c r="C61" s="174"/>
      <c r="D61" s="175"/>
      <c r="E61" s="176"/>
      <c r="F61" s="45" t="str">
        <f t="shared" si="9"/>
        <v/>
      </c>
      <c r="G61" s="180"/>
      <c r="H61" s="46" t="str">
        <f t="shared" si="10"/>
        <v/>
      </c>
      <c r="I61" s="182"/>
      <c r="J61" s="47" t="str">
        <f>IFERROR(IF('General Information'!$D$24="New Construction",VLOOKUP(C61,Space_Type_Details,18,FALSE),VLOOKUP(E61,Wattage_Table,11,FALSE)),"")</f>
        <v/>
      </c>
      <c r="K61" s="383" t="str">
        <f>IFERROR(IF('General Information'!$D$24="New Construction",VLOOKUP(C61,Space_Type_Details,13,FALSE)/COUNTIF($C$13:$C$82,C61),VLOOKUP(J61,Wattage_Table,10,FALSE)),"")</f>
        <v/>
      </c>
      <c r="L61" s="48" t="str">
        <f>IFERROR(IF('General Information'!$D$24="New Construction",J61*K61,IF(G61="","",K61*G61)),"")</f>
        <v/>
      </c>
      <c r="M61" s="184"/>
      <c r="N61" s="45" t="str">
        <f t="shared" si="11"/>
        <v/>
      </c>
      <c r="O61" s="180"/>
      <c r="P61" s="45" t="str">
        <f t="shared" si="12"/>
        <v/>
      </c>
      <c r="Q61" s="180"/>
      <c r="R61" s="46" t="str">
        <f t="shared" si="13"/>
        <v/>
      </c>
      <c r="S61" s="182"/>
      <c r="T61" s="49" t="str">
        <f>IFERROR(IF(C61="","",IF(VLOOKUP(C61,Space_Type_Details,8,FALSE)="TRM",INDEX('General Information'!$AF$17:$AG$28,11,MATCH(N61,'General Information'!$AF$16:$AG$16,0)),HLOOKUP(VLOOKUP(C61,Space_Type_Details,8,FALSE),'General Information'!$P$15:$AG$28,13,FALSE))),"")</f>
        <v/>
      </c>
      <c r="U61" s="50" t="str">
        <f>IFERROR(IF(C61="","",IF(VLOOKUP(C61,Space_Type_Details,8,FALSE)="TRM",INDEX('General Information'!$AF$17:$AG$28,12,MATCH(N61,'General Information'!$AF$16:$AG$16,0)),HLOOKUP(VLOOKUP(C61,Space_Type_Details,8,FALSE),'General Information'!$P$15:$AG$28,14,FALSE))),"")</f>
        <v/>
      </c>
      <c r="V61" s="50" t="str">
        <f>IFERROR(VLOOKUP(INDEX(Space_Type_Details,MATCH('Lighting Inventory'!$C61,'General Information'!$C$40:$C$60,0),12),Lookups!$L$8:$N$12,2,FALSE),"")</f>
        <v/>
      </c>
      <c r="W61" s="50" t="str">
        <f>IFERROR(VLOOKUP(INDEX(Space_Type_Details,MATCH('Lighting Inventory'!$C61,'General Information'!$C$40:$C$60,0),12),Lookups!$L$8:$N$12,3,FALSE),"")</f>
        <v/>
      </c>
      <c r="X61" s="51" t="str">
        <f>IFERROR(IF(C61="","",IF('General Information'!$D$24="Retrofit",VLOOKUP('Lighting Inventory'!I61,SVG_Factors,2,FALSE),IF('General Information'!$D$24="New Construction",VLOOKUP(VLOOKUP('General Information'!$D$23,LPD_BuildingArea,5,FALSE),SVG_Factors_NC,3,FALSE),""))),"")</f>
        <v/>
      </c>
      <c r="Y61" s="52" t="str">
        <f t="shared" si="5"/>
        <v/>
      </c>
      <c r="Z61" s="53" t="str">
        <f t="shared" si="14"/>
        <v/>
      </c>
      <c r="AA61" s="51" t="str">
        <f t="shared" si="15"/>
        <v/>
      </c>
      <c r="AB61" s="54" t="str">
        <f t="shared" si="16"/>
        <v/>
      </c>
      <c r="AC61" s="55" t="str">
        <f t="shared" si="17"/>
        <v/>
      </c>
      <c r="AD61" s="54" t="str">
        <f t="shared" si="18"/>
        <v/>
      </c>
      <c r="AE61" s="55" t="str">
        <f t="shared" si="19"/>
        <v/>
      </c>
      <c r="AF61" s="54" t="str">
        <f t="shared" si="20"/>
        <v/>
      </c>
      <c r="AG61" s="203">
        <f t="shared" si="21"/>
        <v>0</v>
      </c>
      <c r="AH61" s="203">
        <f t="shared" si="6"/>
        <v>0</v>
      </c>
      <c r="AI61" s="203">
        <f t="shared" si="7"/>
        <v>0</v>
      </c>
    </row>
    <row r="62" spans="1:35" x14ac:dyDescent="0.25">
      <c r="A62" s="197">
        <f t="shared" si="8"/>
        <v>0</v>
      </c>
      <c r="B62" s="31">
        <v>50</v>
      </c>
      <c r="C62" s="174"/>
      <c r="D62" s="175"/>
      <c r="E62" s="176"/>
      <c r="F62" s="45" t="str">
        <f t="shared" si="9"/>
        <v/>
      </c>
      <c r="G62" s="180"/>
      <c r="H62" s="46" t="str">
        <f t="shared" si="10"/>
        <v/>
      </c>
      <c r="I62" s="182"/>
      <c r="J62" s="47" t="str">
        <f>IFERROR(IF('General Information'!$D$24="New Construction",VLOOKUP(C62,Space_Type_Details,18,FALSE),VLOOKUP(E62,Wattage_Table,11,FALSE)),"")</f>
        <v/>
      </c>
      <c r="K62" s="383" t="str">
        <f>IFERROR(IF('General Information'!$D$24="New Construction",VLOOKUP(C62,Space_Type_Details,13,FALSE)/COUNTIF($C$13:$C$82,C62),VLOOKUP(J62,Wattage_Table,10,FALSE)),"")</f>
        <v/>
      </c>
      <c r="L62" s="48" t="str">
        <f>IFERROR(IF('General Information'!$D$24="New Construction",J62*K62,IF(G62="","",K62*G62)),"")</f>
        <v/>
      </c>
      <c r="M62" s="184"/>
      <c r="N62" s="45" t="str">
        <f t="shared" si="11"/>
        <v/>
      </c>
      <c r="O62" s="180"/>
      <c r="P62" s="45" t="str">
        <f t="shared" si="12"/>
        <v/>
      </c>
      <c r="Q62" s="180"/>
      <c r="R62" s="46" t="str">
        <f t="shared" si="13"/>
        <v/>
      </c>
      <c r="S62" s="182"/>
      <c r="T62" s="49" t="str">
        <f>IFERROR(IF(C62="","",IF(VLOOKUP(C62,Space_Type_Details,8,FALSE)="TRM",INDEX('General Information'!$AF$17:$AG$28,11,MATCH(N62,'General Information'!$AF$16:$AG$16,0)),HLOOKUP(VLOOKUP(C62,Space_Type_Details,8,FALSE),'General Information'!$P$15:$AG$28,13,FALSE))),"")</f>
        <v/>
      </c>
      <c r="U62" s="50" t="str">
        <f>IFERROR(IF(C62="","",IF(VLOOKUP(C62,Space_Type_Details,8,FALSE)="TRM",INDEX('General Information'!$AF$17:$AG$28,12,MATCH(N62,'General Information'!$AF$16:$AG$16,0)),HLOOKUP(VLOOKUP(C62,Space_Type_Details,8,FALSE),'General Information'!$P$15:$AG$28,14,FALSE))),"")</f>
        <v/>
      </c>
      <c r="V62" s="50" t="str">
        <f>IFERROR(VLOOKUP(INDEX(Space_Type_Details,MATCH('Lighting Inventory'!$C62,'General Information'!$C$40:$C$60,0),12),Lookups!$L$8:$N$12,2,FALSE),"")</f>
        <v/>
      </c>
      <c r="W62" s="50" t="str">
        <f>IFERROR(VLOOKUP(INDEX(Space_Type_Details,MATCH('Lighting Inventory'!$C62,'General Information'!$C$40:$C$60,0),12),Lookups!$L$8:$N$12,3,FALSE),"")</f>
        <v/>
      </c>
      <c r="X62" s="51" t="str">
        <f>IFERROR(IF(C62="","",IF('General Information'!$D$24="Retrofit",VLOOKUP('Lighting Inventory'!I62,SVG_Factors,2,FALSE),IF('General Information'!$D$24="New Construction",VLOOKUP(VLOOKUP('General Information'!$D$23,LPD_BuildingArea,5,FALSE),SVG_Factors_NC,3,FALSE),""))),"")</f>
        <v/>
      </c>
      <c r="Y62" s="52" t="str">
        <f t="shared" si="5"/>
        <v/>
      </c>
      <c r="Z62" s="53" t="str">
        <f t="shared" si="14"/>
        <v/>
      </c>
      <c r="AA62" s="51" t="str">
        <f t="shared" si="15"/>
        <v/>
      </c>
      <c r="AB62" s="54" t="str">
        <f t="shared" si="16"/>
        <v/>
      </c>
      <c r="AC62" s="55" t="str">
        <f t="shared" si="17"/>
        <v/>
      </c>
      <c r="AD62" s="54" t="str">
        <f t="shared" si="18"/>
        <v/>
      </c>
      <c r="AE62" s="55" t="str">
        <f t="shared" si="19"/>
        <v/>
      </c>
      <c r="AF62" s="54" t="str">
        <f t="shared" si="20"/>
        <v/>
      </c>
      <c r="AG62" s="203">
        <f t="shared" si="21"/>
        <v>0</v>
      </c>
      <c r="AH62" s="203">
        <f t="shared" si="6"/>
        <v>0</v>
      </c>
      <c r="AI62" s="203">
        <f t="shared" si="7"/>
        <v>0</v>
      </c>
    </row>
    <row r="63" spans="1:35" x14ac:dyDescent="0.25">
      <c r="A63" s="197">
        <f t="shared" si="8"/>
        <v>0</v>
      </c>
      <c r="B63" s="31">
        <v>51</v>
      </c>
      <c r="C63" s="174"/>
      <c r="D63" s="175"/>
      <c r="E63" s="176"/>
      <c r="F63" s="45" t="str">
        <f t="shared" si="9"/>
        <v/>
      </c>
      <c r="G63" s="180"/>
      <c r="H63" s="46" t="str">
        <f t="shared" si="10"/>
        <v/>
      </c>
      <c r="I63" s="182"/>
      <c r="J63" s="47" t="str">
        <f>IFERROR(IF('General Information'!$D$24="New Construction",VLOOKUP(C63,Space_Type_Details,18,FALSE),VLOOKUP(E63,Wattage_Table,11,FALSE)),"")</f>
        <v/>
      </c>
      <c r="K63" s="383" t="str">
        <f>IFERROR(IF('General Information'!$D$24="New Construction",VLOOKUP(C63,Space_Type_Details,13,FALSE)/COUNTIF($C$13:$C$82,C63),VLOOKUP(J63,Wattage_Table,10,FALSE)),"")</f>
        <v/>
      </c>
      <c r="L63" s="48" t="str">
        <f>IFERROR(IF('General Information'!$D$24="New Construction",J63*K63,IF(G63="","",K63*G63)),"")</f>
        <v/>
      </c>
      <c r="M63" s="184"/>
      <c r="N63" s="45" t="str">
        <f t="shared" si="11"/>
        <v/>
      </c>
      <c r="O63" s="180"/>
      <c r="P63" s="45" t="str">
        <f t="shared" si="12"/>
        <v/>
      </c>
      <c r="Q63" s="180"/>
      <c r="R63" s="46" t="str">
        <f t="shared" si="13"/>
        <v/>
      </c>
      <c r="S63" s="182"/>
      <c r="T63" s="49" t="str">
        <f>IFERROR(IF(C63="","",IF(VLOOKUP(C63,Space_Type_Details,8,FALSE)="TRM",INDEX('General Information'!$AF$17:$AG$28,11,MATCH(N63,'General Information'!$AF$16:$AG$16,0)),HLOOKUP(VLOOKUP(C63,Space_Type_Details,8,FALSE),'General Information'!$P$15:$AG$28,13,FALSE))),"")</f>
        <v/>
      </c>
      <c r="U63" s="50" t="str">
        <f>IFERROR(IF(C63="","",IF(VLOOKUP(C63,Space_Type_Details,8,FALSE)="TRM",INDEX('General Information'!$AF$17:$AG$28,12,MATCH(N63,'General Information'!$AF$16:$AG$16,0)),HLOOKUP(VLOOKUP(C63,Space_Type_Details,8,FALSE),'General Information'!$P$15:$AG$28,14,FALSE))),"")</f>
        <v/>
      </c>
      <c r="V63" s="50" t="str">
        <f>IFERROR(VLOOKUP(INDEX(Space_Type_Details,MATCH('Lighting Inventory'!$C63,'General Information'!$C$40:$C$60,0),12),Lookups!$L$8:$N$12,2,FALSE),"")</f>
        <v/>
      </c>
      <c r="W63" s="50" t="str">
        <f>IFERROR(VLOOKUP(INDEX(Space_Type_Details,MATCH('Lighting Inventory'!$C63,'General Information'!$C$40:$C$60,0),12),Lookups!$L$8:$N$12,3,FALSE),"")</f>
        <v/>
      </c>
      <c r="X63" s="51" t="str">
        <f>IFERROR(IF(C63="","",IF('General Information'!$D$24="Retrofit",VLOOKUP('Lighting Inventory'!I63,SVG_Factors,2,FALSE),IF('General Information'!$D$24="New Construction",VLOOKUP(VLOOKUP('General Information'!$D$23,LPD_BuildingArea,5,FALSE),SVG_Factors_NC,3,FALSE),""))),"")</f>
        <v/>
      </c>
      <c r="Y63" s="52" t="str">
        <f t="shared" si="5"/>
        <v/>
      </c>
      <c r="Z63" s="53" t="str">
        <f t="shared" si="14"/>
        <v/>
      </c>
      <c r="AA63" s="51" t="str">
        <f t="shared" si="15"/>
        <v/>
      </c>
      <c r="AB63" s="54" t="str">
        <f t="shared" si="16"/>
        <v/>
      </c>
      <c r="AC63" s="55" t="str">
        <f t="shared" si="17"/>
        <v/>
      </c>
      <c r="AD63" s="54" t="str">
        <f t="shared" si="18"/>
        <v/>
      </c>
      <c r="AE63" s="55" t="str">
        <f t="shared" si="19"/>
        <v/>
      </c>
      <c r="AF63" s="54" t="str">
        <f t="shared" si="20"/>
        <v/>
      </c>
      <c r="AG63" s="203">
        <f t="shared" si="21"/>
        <v>0</v>
      </c>
      <c r="AH63" s="203">
        <f t="shared" si="6"/>
        <v>0</v>
      </c>
      <c r="AI63" s="203">
        <f t="shared" si="7"/>
        <v>0</v>
      </c>
    </row>
    <row r="64" spans="1:35" x14ac:dyDescent="0.25">
      <c r="A64" s="197">
        <f t="shared" si="8"/>
        <v>0</v>
      </c>
      <c r="B64" s="31">
        <v>52</v>
      </c>
      <c r="C64" s="174"/>
      <c r="D64" s="175"/>
      <c r="E64" s="176"/>
      <c r="F64" s="45" t="str">
        <f t="shared" si="9"/>
        <v/>
      </c>
      <c r="G64" s="180"/>
      <c r="H64" s="46" t="str">
        <f t="shared" si="10"/>
        <v/>
      </c>
      <c r="I64" s="182"/>
      <c r="J64" s="47" t="str">
        <f>IFERROR(IF('General Information'!$D$24="New Construction",VLOOKUP(C64,Space_Type_Details,18,FALSE),VLOOKUP(E64,Wattage_Table,11,FALSE)),"")</f>
        <v/>
      </c>
      <c r="K64" s="383" t="str">
        <f>IFERROR(IF('General Information'!$D$24="New Construction",VLOOKUP(C64,Space_Type_Details,13,FALSE)/COUNTIF($C$13:$C$82,C64),VLOOKUP(J64,Wattage_Table,10,FALSE)),"")</f>
        <v/>
      </c>
      <c r="L64" s="48" t="str">
        <f>IFERROR(IF('General Information'!$D$24="New Construction",J64*K64,IF(G64="","",K64*G64)),"")</f>
        <v/>
      </c>
      <c r="M64" s="184"/>
      <c r="N64" s="45" t="str">
        <f t="shared" si="11"/>
        <v/>
      </c>
      <c r="O64" s="180"/>
      <c r="P64" s="45" t="str">
        <f t="shared" si="12"/>
        <v/>
      </c>
      <c r="Q64" s="180"/>
      <c r="R64" s="46" t="str">
        <f t="shared" si="13"/>
        <v/>
      </c>
      <c r="S64" s="182"/>
      <c r="T64" s="49" t="str">
        <f>IFERROR(IF(C64="","",IF(VLOOKUP(C64,Space_Type_Details,8,FALSE)="TRM",INDEX('General Information'!$AF$17:$AG$28,11,MATCH(N64,'General Information'!$AF$16:$AG$16,0)),HLOOKUP(VLOOKUP(C64,Space_Type_Details,8,FALSE),'General Information'!$P$15:$AG$28,13,FALSE))),"")</f>
        <v/>
      </c>
      <c r="U64" s="50" t="str">
        <f>IFERROR(IF(C64="","",IF(VLOOKUP(C64,Space_Type_Details,8,FALSE)="TRM",INDEX('General Information'!$AF$17:$AG$28,12,MATCH(N64,'General Information'!$AF$16:$AG$16,0)),HLOOKUP(VLOOKUP(C64,Space_Type_Details,8,FALSE),'General Information'!$P$15:$AG$28,14,FALSE))),"")</f>
        <v/>
      </c>
      <c r="V64" s="50" t="str">
        <f>IFERROR(VLOOKUP(INDEX(Space_Type_Details,MATCH('Lighting Inventory'!$C64,'General Information'!$C$40:$C$60,0),12),Lookups!$L$8:$N$12,2,FALSE),"")</f>
        <v/>
      </c>
      <c r="W64" s="50" t="str">
        <f>IFERROR(VLOOKUP(INDEX(Space_Type_Details,MATCH('Lighting Inventory'!$C64,'General Information'!$C$40:$C$60,0),12),Lookups!$L$8:$N$12,3,FALSE),"")</f>
        <v/>
      </c>
      <c r="X64" s="51" t="str">
        <f>IFERROR(IF(C64="","",IF('General Information'!$D$24="Retrofit",VLOOKUP('Lighting Inventory'!I64,SVG_Factors,2,FALSE),IF('General Information'!$D$24="New Construction",VLOOKUP(VLOOKUP('General Information'!$D$23,LPD_BuildingArea,5,FALSE),SVG_Factors_NC,3,FALSE),""))),"")</f>
        <v/>
      </c>
      <c r="Y64" s="52" t="str">
        <f t="shared" si="5"/>
        <v/>
      </c>
      <c r="Z64" s="53" t="str">
        <f t="shared" si="14"/>
        <v/>
      </c>
      <c r="AA64" s="51" t="str">
        <f t="shared" si="15"/>
        <v/>
      </c>
      <c r="AB64" s="54" t="str">
        <f t="shared" si="16"/>
        <v/>
      </c>
      <c r="AC64" s="55" t="str">
        <f t="shared" si="17"/>
        <v/>
      </c>
      <c r="AD64" s="54" t="str">
        <f t="shared" si="18"/>
        <v/>
      </c>
      <c r="AE64" s="55" t="str">
        <f t="shared" si="19"/>
        <v/>
      </c>
      <c r="AF64" s="54" t="str">
        <f t="shared" si="20"/>
        <v/>
      </c>
      <c r="AG64" s="203">
        <f t="shared" si="21"/>
        <v>0</v>
      </c>
      <c r="AH64" s="203">
        <f t="shared" si="6"/>
        <v>0</v>
      </c>
      <c r="AI64" s="203">
        <f t="shared" si="7"/>
        <v>0</v>
      </c>
    </row>
    <row r="65" spans="1:35" x14ac:dyDescent="0.25">
      <c r="A65" s="197">
        <f t="shared" si="8"/>
        <v>0</v>
      </c>
      <c r="B65" s="31">
        <v>53</v>
      </c>
      <c r="C65" s="174"/>
      <c r="D65" s="175"/>
      <c r="E65" s="176"/>
      <c r="F65" s="45" t="str">
        <f t="shared" si="9"/>
        <v/>
      </c>
      <c r="G65" s="180"/>
      <c r="H65" s="46" t="str">
        <f t="shared" si="10"/>
        <v/>
      </c>
      <c r="I65" s="182"/>
      <c r="J65" s="47" t="str">
        <f>IFERROR(IF('General Information'!$D$24="New Construction",VLOOKUP(C65,Space_Type_Details,18,FALSE),VLOOKUP(E65,Wattage_Table,11,FALSE)),"")</f>
        <v/>
      </c>
      <c r="K65" s="383" t="str">
        <f>IFERROR(IF('General Information'!$D$24="New Construction",VLOOKUP(C65,Space_Type_Details,13,FALSE)/COUNTIF($C$13:$C$82,C65),VLOOKUP(J65,Wattage_Table,10,FALSE)),"")</f>
        <v/>
      </c>
      <c r="L65" s="48" t="str">
        <f>IFERROR(IF('General Information'!$D$24="New Construction",J65*K65,IF(G65="","",K65*G65)),"")</f>
        <v/>
      </c>
      <c r="M65" s="184"/>
      <c r="N65" s="45" t="str">
        <f t="shared" si="11"/>
        <v/>
      </c>
      <c r="O65" s="180"/>
      <c r="P65" s="45" t="str">
        <f t="shared" si="12"/>
        <v/>
      </c>
      <c r="Q65" s="180"/>
      <c r="R65" s="46" t="str">
        <f t="shared" si="13"/>
        <v/>
      </c>
      <c r="S65" s="182"/>
      <c r="T65" s="49" t="str">
        <f>IFERROR(IF(C65="","",IF(VLOOKUP(C65,Space_Type_Details,8,FALSE)="TRM",INDEX('General Information'!$AF$17:$AG$28,11,MATCH(N65,'General Information'!$AF$16:$AG$16,0)),HLOOKUP(VLOOKUP(C65,Space_Type_Details,8,FALSE),'General Information'!$P$15:$AG$28,13,FALSE))),"")</f>
        <v/>
      </c>
      <c r="U65" s="50" t="str">
        <f>IFERROR(IF(C65="","",IF(VLOOKUP(C65,Space_Type_Details,8,FALSE)="TRM",INDEX('General Information'!$AF$17:$AG$28,12,MATCH(N65,'General Information'!$AF$16:$AG$16,0)),HLOOKUP(VLOOKUP(C65,Space_Type_Details,8,FALSE),'General Information'!$P$15:$AG$28,14,FALSE))),"")</f>
        <v/>
      </c>
      <c r="V65" s="50" t="str">
        <f>IFERROR(VLOOKUP(INDEX(Space_Type_Details,MATCH('Lighting Inventory'!$C65,'General Information'!$C$40:$C$60,0),12),Lookups!$L$8:$N$12,2,FALSE),"")</f>
        <v/>
      </c>
      <c r="W65" s="50" t="str">
        <f>IFERROR(VLOOKUP(INDEX(Space_Type_Details,MATCH('Lighting Inventory'!$C65,'General Information'!$C$40:$C$60,0),12),Lookups!$L$8:$N$12,3,FALSE),"")</f>
        <v/>
      </c>
      <c r="X65" s="51" t="str">
        <f>IFERROR(IF(C65="","",IF('General Information'!$D$24="Retrofit",VLOOKUP('Lighting Inventory'!I65,SVG_Factors,2,FALSE),IF('General Information'!$D$24="New Construction",VLOOKUP(VLOOKUP('General Information'!$D$23,LPD_BuildingArea,5,FALSE),SVG_Factors_NC,3,FALSE),""))),"")</f>
        <v/>
      </c>
      <c r="Y65" s="52" t="str">
        <f t="shared" si="5"/>
        <v/>
      </c>
      <c r="Z65" s="53" t="str">
        <f t="shared" si="14"/>
        <v/>
      </c>
      <c r="AA65" s="51" t="str">
        <f t="shared" si="15"/>
        <v/>
      </c>
      <c r="AB65" s="54" t="str">
        <f t="shared" si="16"/>
        <v/>
      </c>
      <c r="AC65" s="55" t="str">
        <f t="shared" si="17"/>
        <v/>
      </c>
      <c r="AD65" s="54" t="str">
        <f t="shared" si="18"/>
        <v/>
      </c>
      <c r="AE65" s="55" t="str">
        <f t="shared" si="19"/>
        <v/>
      </c>
      <c r="AF65" s="54" t="str">
        <f t="shared" si="20"/>
        <v/>
      </c>
      <c r="AG65" s="203">
        <f t="shared" si="21"/>
        <v>0</v>
      </c>
      <c r="AH65" s="203">
        <f t="shared" si="6"/>
        <v>0</v>
      </c>
      <c r="AI65" s="203">
        <f t="shared" si="7"/>
        <v>0</v>
      </c>
    </row>
    <row r="66" spans="1:35" x14ac:dyDescent="0.25">
      <c r="A66" s="197">
        <f t="shared" si="8"/>
        <v>0</v>
      </c>
      <c r="B66" s="31">
        <v>54</v>
      </c>
      <c r="C66" s="174"/>
      <c r="D66" s="175"/>
      <c r="E66" s="176"/>
      <c r="F66" s="45" t="str">
        <f t="shared" si="9"/>
        <v/>
      </c>
      <c r="G66" s="180"/>
      <c r="H66" s="46" t="str">
        <f t="shared" si="10"/>
        <v/>
      </c>
      <c r="I66" s="182"/>
      <c r="J66" s="47" t="str">
        <f>IFERROR(IF('General Information'!$D$24="New Construction",VLOOKUP(C66,Space_Type_Details,18,FALSE),VLOOKUP(E66,Wattage_Table,11,FALSE)),"")</f>
        <v/>
      </c>
      <c r="K66" s="383" t="str">
        <f>IFERROR(IF('General Information'!$D$24="New Construction",VLOOKUP(C66,Space_Type_Details,13,FALSE)/COUNTIF($C$13:$C$82,C66),VLOOKUP(J66,Wattage_Table,10,FALSE)),"")</f>
        <v/>
      </c>
      <c r="L66" s="48" t="str">
        <f>IFERROR(IF('General Information'!$D$24="New Construction",J66*K66,IF(G66="","",K66*G66)),"")</f>
        <v/>
      </c>
      <c r="M66" s="184"/>
      <c r="N66" s="45" t="str">
        <f t="shared" si="11"/>
        <v/>
      </c>
      <c r="O66" s="180"/>
      <c r="P66" s="45" t="str">
        <f t="shared" si="12"/>
        <v/>
      </c>
      <c r="Q66" s="180"/>
      <c r="R66" s="46" t="str">
        <f t="shared" si="13"/>
        <v/>
      </c>
      <c r="S66" s="182"/>
      <c r="T66" s="49" t="str">
        <f>IFERROR(IF(C66="","",IF(VLOOKUP(C66,Space_Type_Details,8,FALSE)="TRM",INDEX('General Information'!$AF$17:$AG$28,11,MATCH(N66,'General Information'!$AF$16:$AG$16,0)),HLOOKUP(VLOOKUP(C66,Space_Type_Details,8,FALSE),'General Information'!$P$15:$AG$28,13,FALSE))),"")</f>
        <v/>
      </c>
      <c r="U66" s="50" t="str">
        <f>IFERROR(IF(C66="","",IF(VLOOKUP(C66,Space_Type_Details,8,FALSE)="TRM",INDEX('General Information'!$AF$17:$AG$28,12,MATCH(N66,'General Information'!$AF$16:$AG$16,0)),HLOOKUP(VLOOKUP(C66,Space_Type_Details,8,FALSE),'General Information'!$P$15:$AG$28,14,FALSE))),"")</f>
        <v/>
      </c>
      <c r="V66" s="50" t="str">
        <f>IFERROR(VLOOKUP(INDEX(Space_Type_Details,MATCH('Lighting Inventory'!$C66,'General Information'!$C$40:$C$60,0),12),Lookups!$L$8:$N$12,2,FALSE),"")</f>
        <v/>
      </c>
      <c r="W66" s="50" t="str">
        <f>IFERROR(VLOOKUP(INDEX(Space_Type_Details,MATCH('Lighting Inventory'!$C66,'General Information'!$C$40:$C$60,0),12),Lookups!$L$8:$N$12,3,FALSE),"")</f>
        <v/>
      </c>
      <c r="X66" s="51" t="str">
        <f>IFERROR(IF(C66="","",IF('General Information'!$D$24="Retrofit",VLOOKUP('Lighting Inventory'!I66,SVG_Factors,2,FALSE),IF('General Information'!$D$24="New Construction",VLOOKUP(VLOOKUP('General Information'!$D$23,LPD_BuildingArea,5,FALSE),SVG_Factors_NC,3,FALSE),""))),"")</f>
        <v/>
      </c>
      <c r="Y66" s="52" t="str">
        <f t="shared" si="5"/>
        <v/>
      </c>
      <c r="Z66" s="53" t="str">
        <f t="shared" si="14"/>
        <v/>
      </c>
      <c r="AA66" s="51" t="str">
        <f t="shared" si="15"/>
        <v/>
      </c>
      <c r="AB66" s="54" t="str">
        <f t="shared" si="16"/>
        <v/>
      </c>
      <c r="AC66" s="55" t="str">
        <f t="shared" si="17"/>
        <v/>
      </c>
      <c r="AD66" s="54" t="str">
        <f t="shared" si="18"/>
        <v/>
      </c>
      <c r="AE66" s="55" t="str">
        <f t="shared" si="19"/>
        <v/>
      </c>
      <c r="AF66" s="54" t="str">
        <f t="shared" si="20"/>
        <v/>
      </c>
      <c r="AG66" s="203">
        <f t="shared" si="21"/>
        <v>0</v>
      </c>
      <c r="AH66" s="203">
        <f t="shared" si="6"/>
        <v>0</v>
      </c>
      <c r="AI66" s="203">
        <f t="shared" si="7"/>
        <v>0</v>
      </c>
    </row>
    <row r="67" spans="1:35" x14ac:dyDescent="0.25">
      <c r="A67" s="197">
        <f t="shared" si="8"/>
        <v>0</v>
      </c>
      <c r="B67" s="31">
        <v>55</v>
      </c>
      <c r="C67" s="174"/>
      <c r="D67" s="175"/>
      <c r="E67" s="176"/>
      <c r="F67" s="45" t="str">
        <f t="shared" si="9"/>
        <v/>
      </c>
      <c r="G67" s="180"/>
      <c r="H67" s="46" t="str">
        <f t="shared" si="10"/>
        <v/>
      </c>
      <c r="I67" s="182"/>
      <c r="J67" s="47" t="str">
        <f>IFERROR(IF('General Information'!$D$24="New Construction",VLOOKUP(C67,Space_Type_Details,18,FALSE),VLOOKUP(E67,Wattage_Table,11,FALSE)),"")</f>
        <v/>
      </c>
      <c r="K67" s="383" t="str">
        <f>IFERROR(IF('General Information'!$D$24="New Construction",VLOOKUP(C67,Space_Type_Details,13,FALSE)/COUNTIF($C$13:$C$82,C67),VLOOKUP(J67,Wattage_Table,10,FALSE)),"")</f>
        <v/>
      </c>
      <c r="L67" s="48" t="str">
        <f>IFERROR(IF('General Information'!$D$24="New Construction",J67*K67,IF(G67="","",K67*G67)),"")</f>
        <v/>
      </c>
      <c r="M67" s="184"/>
      <c r="N67" s="45" t="str">
        <f t="shared" si="11"/>
        <v/>
      </c>
      <c r="O67" s="180"/>
      <c r="P67" s="45" t="str">
        <f t="shared" si="12"/>
        <v/>
      </c>
      <c r="Q67" s="180"/>
      <c r="R67" s="46" t="str">
        <f t="shared" si="13"/>
        <v/>
      </c>
      <c r="S67" s="182"/>
      <c r="T67" s="49" t="str">
        <f>IFERROR(IF(C67="","",IF(VLOOKUP(C67,Space_Type_Details,8,FALSE)="TRM",INDEX('General Information'!$AF$17:$AG$28,11,MATCH(N67,'General Information'!$AF$16:$AG$16,0)),HLOOKUP(VLOOKUP(C67,Space_Type_Details,8,FALSE),'General Information'!$P$15:$AG$28,13,FALSE))),"")</f>
        <v/>
      </c>
      <c r="U67" s="50" t="str">
        <f>IFERROR(IF(C67="","",IF(VLOOKUP(C67,Space_Type_Details,8,FALSE)="TRM",INDEX('General Information'!$AF$17:$AG$28,12,MATCH(N67,'General Information'!$AF$16:$AG$16,0)),HLOOKUP(VLOOKUP(C67,Space_Type_Details,8,FALSE),'General Information'!$P$15:$AG$28,14,FALSE))),"")</f>
        <v/>
      </c>
      <c r="V67" s="50" t="str">
        <f>IFERROR(VLOOKUP(INDEX(Space_Type_Details,MATCH('Lighting Inventory'!$C67,'General Information'!$C$40:$C$60,0),12),Lookups!$L$8:$N$12,2,FALSE),"")</f>
        <v/>
      </c>
      <c r="W67" s="50" t="str">
        <f>IFERROR(VLOOKUP(INDEX(Space_Type_Details,MATCH('Lighting Inventory'!$C67,'General Information'!$C$40:$C$60,0),12),Lookups!$L$8:$N$12,3,FALSE),"")</f>
        <v/>
      </c>
      <c r="X67" s="51" t="str">
        <f>IFERROR(IF(C67="","",IF('General Information'!$D$24="Retrofit",VLOOKUP('Lighting Inventory'!I67,SVG_Factors,2,FALSE),IF('General Information'!$D$24="New Construction",VLOOKUP(VLOOKUP('General Information'!$D$23,LPD_BuildingArea,5,FALSE),SVG_Factors_NC,3,FALSE),""))),"")</f>
        <v/>
      </c>
      <c r="Y67" s="52" t="str">
        <f t="shared" si="5"/>
        <v/>
      </c>
      <c r="Z67" s="53" t="str">
        <f t="shared" si="14"/>
        <v/>
      </c>
      <c r="AA67" s="51" t="str">
        <f t="shared" si="15"/>
        <v/>
      </c>
      <c r="AB67" s="54" t="str">
        <f t="shared" si="16"/>
        <v/>
      </c>
      <c r="AC67" s="55" t="str">
        <f t="shared" si="17"/>
        <v/>
      </c>
      <c r="AD67" s="54" t="str">
        <f t="shared" si="18"/>
        <v/>
      </c>
      <c r="AE67" s="55" t="str">
        <f t="shared" si="19"/>
        <v/>
      </c>
      <c r="AF67" s="54" t="str">
        <f t="shared" si="20"/>
        <v/>
      </c>
      <c r="AG67" s="203">
        <f t="shared" si="21"/>
        <v>0</v>
      </c>
      <c r="AH67" s="203">
        <f t="shared" si="6"/>
        <v>0</v>
      </c>
      <c r="AI67" s="203">
        <f t="shared" si="7"/>
        <v>0</v>
      </c>
    </row>
    <row r="68" spans="1:35" x14ac:dyDescent="0.25">
      <c r="A68" s="197">
        <f t="shared" si="8"/>
        <v>0</v>
      </c>
      <c r="B68" s="31">
        <v>56</v>
      </c>
      <c r="C68" s="174"/>
      <c r="D68" s="175"/>
      <c r="E68" s="176"/>
      <c r="F68" s="45" t="str">
        <f t="shared" si="9"/>
        <v/>
      </c>
      <c r="G68" s="180"/>
      <c r="H68" s="46" t="str">
        <f t="shared" si="10"/>
        <v/>
      </c>
      <c r="I68" s="182"/>
      <c r="J68" s="47" t="str">
        <f>IFERROR(IF('General Information'!$D$24="New Construction",VLOOKUP(C68,Space_Type_Details,18,FALSE),VLOOKUP(E68,Wattage_Table,11,FALSE)),"")</f>
        <v/>
      </c>
      <c r="K68" s="383" t="str">
        <f>IFERROR(IF('General Information'!$D$24="New Construction",VLOOKUP(C68,Space_Type_Details,13,FALSE)/COUNTIF($C$13:$C$82,C68),VLOOKUP(J68,Wattage_Table,10,FALSE)),"")</f>
        <v/>
      </c>
      <c r="L68" s="48" t="str">
        <f>IFERROR(IF('General Information'!$D$24="New Construction",J68*K68,IF(G68="","",K68*G68)),"")</f>
        <v/>
      </c>
      <c r="M68" s="184"/>
      <c r="N68" s="45" t="str">
        <f t="shared" si="11"/>
        <v/>
      </c>
      <c r="O68" s="180"/>
      <c r="P68" s="45" t="str">
        <f t="shared" si="12"/>
        <v/>
      </c>
      <c r="Q68" s="180"/>
      <c r="R68" s="46" t="str">
        <f t="shared" si="13"/>
        <v/>
      </c>
      <c r="S68" s="182"/>
      <c r="T68" s="49" t="str">
        <f>IFERROR(IF(C68="","",IF(VLOOKUP(C68,Space_Type_Details,8,FALSE)="TRM",INDEX('General Information'!$AF$17:$AG$28,11,MATCH(N68,'General Information'!$AF$16:$AG$16,0)),HLOOKUP(VLOOKUP(C68,Space_Type_Details,8,FALSE),'General Information'!$P$15:$AG$28,13,FALSE))),"")</f>
        <v/>
      </c>
      <c r="U68" s="50" t="str">
        <f>IFERROR(IF(C68="","",IF(VLOOKUP(C68,Space_Type_Details,8,FALSE)="TRM",INDEX('General Information'!$AF$17:$AG$28,12,MATCH(N68,'General Information'!$AF$16:$AG$16,0)),HLOOKUP(VLOOKUP(C68,Space_Type_Details,8,FALSE),'General Information'!$P$15:$AG$28,14,FALSE))),"")</f>
        <v/>
      </c>
      <c r="V68" s="50" t="str">
        <f>IFERROR(VLOOKUP(INDEX(Space_Type_Details,MATCH('Lighting Inventory'!$C68,'General Information'!$C$40:$C$60,0),12),Lookups!$L$8:$N$12,2,FALSE),"")</f>
        <v/>
      </c>
      <c r="W68" s="50" t="str">
        <f>IFERROR(VLOOKUP(INDEX(Space_Type_Details,MATCH('Lighting Inventory'!$C68,'General Information'!$C$40:$C$60,0),12),Lookups!$L$8:$N$12,3,FALSE),"")</f>
        <v/>
      </c>
      <c r="X68" s="51" t="str">
        <f>IFERROR(IF(C68="","",IF('General Information'!$D$24="Retrofit",VLOOKUP('Lighting Inventory'!I68,SVG_Factors,2,FALSE),IF('General Information'!$D$24="New Construction",VLOOKUP(VLOOKUP('General Information'!$D$23,LPD_BuildingArea,5,FALSE),SVG_Factors_NC,3,FALSE),""))),"")</f>
        <v/>
      </c>
      <c r="Y68" s="52" t="str">
        <f t="shared" si="5"/>
        <v/>
      </c>
      <c r="Z68" s="53" t="str">
        <f t="shared" si="14"/>
        <v/>
      </c>
      <c r="AA68" s="51" t="str">
        <f t="shared" si="15"/>
        <v/>
      </c>
      <c r="AB68" s="54" t="str">
        <f t="shared" si="16"/>
        <v/>
      </c>
      <c r="AC68" s="55" t="str">
        <f t="shared" si="17"/>
        <v/>
      </c>
      <c r="AD68" s="54" t="str">
        <f t="shared" si="18"/>
        <v/>
      </c>
      <c r="AE68" s="55" t="str">
        <f t="shared" si="19"/>
        <v/>
      </c>
      <c r="AF68" s="54" t="str">
        <f t="shared" si="20"/>
        <v/>
      </c>
      <c r="AG68" s="203">
        <f t="shared" si="21"/>
        <v>0</v>
      </c>
      <c r="AH68" s="203">
        <f t="shared" si="6"/>
        <v>0</v>
      </c>
      <c r="AI68" s="203">
        <f t="shared" si="7"/>
        <v>0</v>
      </c>
    </row>
    <row r="69" spans="1:35" x14ac:dyDescent="0.25">
      <c r="A69" s="197">
        <f t="shared" si="8"/>
        <v>0</v>
      </c>
      <c r="B69" s="31">
        <v>57</v>
      </c>
      <c r="C69" s="174"/>
      <c r="D69" s="175"/>
      <c r="E69" s="176"/>
      <c r="F69" s="45" t="str">
        <f t="shared" si="9"/>
        <v/>
      </c>
      <c r="G69" s="180"/>
      <c r="H69" s="46" t="str">
        <f t="shared" si="10"/>
        <v/>
      </c>
      <c r="I69" s="182"/>
      <c r="J69" s="47" t="str">
        <f>IFERROR(IF('General Information'!$D$24="New Construction",VLOOKUP(C69,Space_Type_Details,18,FALSE),VLOOKUP(E69,Wattage_Table,11,FALSE)),"")</f>
        <v/>
      </c>
      <c r="K69" s="383" t="str">
        <f>IFERROR(IF('General Information'!$D$24="New Construction",VLOOKUP(C69,Space_Type_Details,13,FALSE)/COUNTIF($C$13:$C$82,C69),VLOOKUP(J69,Wattage_Table,10,FALSE)),"")</f>
        <v/>
      </c>
      <c r="L69" s="48" t="str">
        <f>IFERROR(IF('General Information'!$D$24="New Construction",J69*K69,IF(G69="","",K69*G69)),"")</f>
        <v/>
      </c>
      <c r="M69" s="184"/>
      <c r="N69" s="45" t="str">
        <f t="shared" si="11"/>
        <v/>
      </c>
      <c r="O69" s="180"/>
      <c r="P69" s="45" t="str">
        <f t="shared" si="12"/>
        <v/>
      </c>
      <c r="Q69" s="180"/>
      <c r="R69" s="46" t="str">
        <f t="shared" si="13"/>
        <v/>
      </c>
      <c r="S69" s="182"/>
      <c r="T69" s="49" t="str">
        <f>IFERROR(IF(C69="","",IF(VLOOKUP(C69,Space_Type_Details,8,FALSE)="TRM",INDEX('General Information'!$AF$17:$AG$28,11,MATCH(N69,'General Information'!$AF$16:$AG$16,0)),HLOOKUP(VLOOKUP(C69,Space_Type_Details,8,FALSE),'General Information'!$P$15:$AG$28,13,FALSE))),"")</f>
        <v/>
      </c>
      <c r="U69" s="50" t="str">
        <f>IFERROR(IF(C69="","",IF(VLOOKUP(C69,Space_Type_Details,8,FALSE)="TRM",INDEX('General Information'!$AF$17:$AG$28,12,MATCH(N69,'General Information'!$AF$16:$AG$16,0)),HLOOKUP(VLOOKUP(C69,Space_Type_Details,8,FALSE),'General Information'!$P$15:$AG$28,14,FALSE))),"")</f>
        <v/>
      </c>
      <c r="V69" s="50" t="str">
        <f>IFERROR(VLOOKUP(INDEX(Space_Type_Details,MATCH('Lighting Inventory'!$C69,'General Information'!$C$40:$C$60,0),12),Lookups!$L$8:$N$12,2,FALSE),"")</f>
        <v/>
      </c>
      <c r="W69" s="50" t="str">
        <f>IFERROR(VLOOKUP(INDEX(Space_Type_Details,MATCH('Lighting Inventory'!$C69,'General Information'!$C$40:$C$60,0),12),Lookups!$L$8:$N$12,3,FALSE),"")</f>
        <v/>
      </c>
      <c r="X69" s="51" t="str">
        <f>IFERROR(IF(C69="","",IF('General Information'!$D$24="Retrofit",VLOOKUP('Lighting Inventory'!I69,SVG_Factors,2,FALSE),IF('General Information'!$D$24="New Construction",VLOOKUP(VLOOKUP('General Information'!$D$23,LPD_BuildingArea,5,FALSE),SVG_Factors_NC,3,FALSE),""))),"")</f>
        <v/>
      </c>
      <c r="Y69" s="52" t="str">
        <f t="shared" si="5"/>
        <v/>
      </c>
      <c r="Z69" s="53" t="str">
        <f t="shared" si="14"/>
        <v/>
      </c>
      <c r="AA69" s="51" t="str">
        <f t="shared" si="15"/>
        <v/>
      </c>
      <c r="AB69" s="54" t="str">
        <f t="shared" si="16"/>
        <v/>
      </c>
      <c r="AC69" s="55" t="str">
        <f t="shared" si="17"/>
        <v/>
      </c>
      <c r="AD69" s="54" t="str">
        <f t="shared" si="18"/>
        <v/>
      </c>
      <c r="AE69" s="55" t="str">
        <f t="shared" si="19"/>
        <v/>
      </c>
      <c r="AF69" s="54" t="str">
        <f t="shared" si="20"/>
        <v/>
      </c>
      <c r="AG69" s="203">
        <f t="shared" si="21"/>
        <v>0</v>
      </c>
      <c r="AH69" s="203">
        <f t="shared" si="6"/>
        <v>0</v>
      </c>
      <c r="AI69" s="203">
        <f t="shared" si="7"/>
        <v>0</v>
      </c>
    </row>
    <row r="70" spans="1:35" x14ac:dyDescent="0.25">
      <c r="A70" s="197">
        <f t="shared" si="8"/>
        <v>0</v>
      </c>
      <c r="B70" s="31">
        <v>58</v>
      </c>
      <c r="C70" s="174"/>
      <c r="D70" s="175"/>
      <c r="E70" s="176"/>
      <c r="F70" s="45" t="str">
        <f t="shared" si="9"/>
        <v/>
      </c>
      <c r="G70" s="180"/>
      <c r="H70" s="46" t="str">
        <f t="shared" si="10"/>
        <v/>
      </c>
      <c r="I70" s="182"/>
      <c r="J70" s="47" t="str">
        <f>IFERROR(IF('General Information'!$D$24="New Construction",VLOOKUP(C70,Space_Type_Details,18,FALSE),VLOOKUP(E70,Wattage_Table,11,FALSE)),"")</f>
        <v/>
      </c>
      <c r="K70" s="383" t="str">
        <f>IFERROR(IF('General Information'!$D$24="New Construction",VLOOKUP(C70,Space_Type_Details,13,FALSE)/COUNTIF($C$13:$C$82,C70),VLOOKUP(J70,Wattage_Table,10,FALSE)),"")</f>
        <v/>
      </c>
      <c r="L70" s="48" t="str">
        <f>IFERROR(IF('General Information'!$D$24="New Construction",J70*K70,IF(G70="","",K70*G70)),"")</f>
        <v/>
      </c>
      <c r="M70" s="184"/>
      <c r="N70" s="45" t="str">
        <f t="shared" si="11"/>
        <v/>
      </c>
      <c r="O70" s="180"/>
      <c r="P70" s="45" t="str">
        <f t="shared" si="12"/>
        <v/>
      </c>
      <c r="Q70" s="180"/>
      <c r="R70" s="46" t="str">
        <f t="shared" si="13"/>
        <v/>
      </c>
      <c r="S70" s="182"/>
      <c r="T70" s="49" t="str">
        <f>IFERROR(IF(C70="","",IF(VLOOKUP(C70,Space_Type_Details,8,FALSE)="TRM",INDEX('General Information'!$AF$17:$AG$28,11,MATCH(N70,'General Information'!$AF$16:$AG$16,0)),HLOOKUP(VLOOKUP(C70,Space_Type_Details,8,FALSE),'General Information'!$P$15:$AG$28,13,FALSE))),"")</f>
        <v/>
      </c>
      <c r="U70" s="50" t="str">
        <f>IFERROR(IF(C70="","",IF(VLOOKUP(C70,Space_Type_Details,8,FALSE)="TRM",INDEX('General Information'!$AF$17:$AG$28,12,MATCH(N70,'General Information'!$AF$16:$AG$16,0)),HLOOKUP(VLOOKUP(C70,Space_Type_Details,8,FALSE),'General Information'!$P$15:$AG$28,14,FALSE))),"")</f>
        <v/>
      </c>
      <c r="V70" s="50" t="str">
        <f>IFERROR(VLOOKUP(INDEX(Space_Type_Details,MATCH('Lighting Inventory'!$C70,'General Information'!$C$40:$C$60,0),12),Lookups!$L$8:$N$12,2,FALSE),"")</f>
        <v/>
      </c>
      <c r="W70" s="50" t="str">
        <f>IFERROR(VLOOKUP(INDEX(Space_Type_Details,MATCH('Lighting Inventory'!$C70,'General Information'!$C$40:$C$60,0),12),Lookups!$L$8:$N$12,3,FALSE),"")</f>
        <v/>
      </c>
      <c r="X70" s="51" t="str">
        <f>IFERROR(IF(C70="","",IF('General Information'!$D$24="Retrofit",VLOOKUP('Lighting Inventory'!I70,SVG_Factors,2,FALSE),IF('General Information'!$D$24="New Construction",VLOOKUP(VLOOKUP('General Information'!$D$23,LPD_BuildingArea,5,FALSE),SVG_Factors_NC,3,FALSE),""))),"")</f>
        <v/>
      </c>
      <c r="Y70" s="52" t="str">
        <f t="shared" si="5"/>
        <v/>
      </c>
      <c r="Z70" s="53" t="str">
        <f t="shared" si="14"/>
        <v/>
      </c>
      <c r="AA70" s="51" t="str">
        <f t="shared" si="15"/>
        <v/>
      </c>
      <c r="AB70" s="54" t="str">
        <f t="shared" si="16"/>
        <v/>
      </c>
      <c r="AC70" s="55" t="str">
        <f t="shared" si="17"/>
        <v/>
      </c>
      <c r="AD70" s="54" t="str">
        <f t="shared" si="18"/>
        <v/>
      </c>
      <c r="AE70" s="55" t="str">
        <f t="shared" si="19"/>
        <v/>
      </c>
      <c r="AF70" s="54" t="str">
        <f t="shared" si="20"/>
        <v/>
      </c>
      <c r="AG70" s="203">
        <f t="shared" si="21"/>
        <v>0</v>
      </c>
      <c r="AH70" s="203">
        <f t="shared" si="6"/>
        <v>0</v>
      </c>
      <c r="AI70" s="203">
        <f t="shared" si="7"/>
        <v>0</v>
      </c>
    </row>
    <row r="71" spans="1:35" x14ac:dyDescent="0.25">
      <c r="A71" s="197">
        <f t="shared" si="8"/>
        <v>0</v>
      </c>
      <c r="B71" s="31">
        <v>59</v>
      </c>
      <c r="C71" s="174"/>
      <c r="D71" s="175"/>
      <c r="E71" s="176"/>
      <c r="F71" s="45" t="str">
        <f t="shared" si="9"/>
        <v/>
      </c>
      <c r="G71" s="180"/>
      <c r="H71" s="46" t="str">
        <f t="shared" si="10"/>
        <v/>
      </c>
      <c r="I71" s="182"/>
      <c r="J71" s="47" t="str">
        <f>IFERROR(IF('General Information'!$D$24="New Construction",VLOOKUP(C71,Space_Type_Details,18,FALSE),VLOOKUP(E71,Wattage_Table,11,FALSE)),"")</f>
        <v/>
      </c>
      <c r="K71" s="383" t="str">
        <f>IFERROR(IF('General Information'!$D$24="New Construction",VLOOKUP(C71,Space_Type_Details,13,FALSE)/COUNTIF($C$13:$C$82,C71),VLOOKUP(J71,Wattage_Table,10,FALSE)),"")</f>
        <v/>
      </c>
      <c r="L71" s="48" t="str">
        <f>IFERROR(IF('General Information'!$D$24="New Construction",J71*K71,IF(G71="","",K71*G71)),"")</f>
        <v/>
      </c>
      <c r="M71" s="184"/>
      <c r="N71" s="45" t="str">
        <f t="shared" si="11"/>
        <v/>
      </c>
      <c r="O71" s="180"/>
      <c r="P71" s="45" t="str">
        <f t="shared" si="12"/>
        <v/>
      </c>
      <c r="Q71" s="180"/>
      <c r="R71" s="46" t="str">
        <f t="shared" si="13"/>
        <v/>
      </c>
      <c r="S71" s="182"/>
      <c r="T71" s="49" t="str">
        <f>IFERROR(IF(C71="","",IF(VLOOKUP(C71,Space_Type_Details,8,FALSE)="TRM",INDEX('General Information'!$AF$17:$AG$28,11,MATCH(N71,'General Information'!$AF$16:$AG$16,0)),HLOOKUP(VLOOKUP(C71,Space_Type_Details,8,FALSE),'General Information'!$P$15:$AG$28,13,FALSE))),"")</f>
        <v/>
      </c>
      <c r="U71" s="50" t="str">
        <f>IFERROR(IF(C71="","",IF(VLOOKUP(C71,Space_Type_Details,8,FALSE)="TRM",INDEX('General Information'!$AF$17:$AG$28,12,MATCH(N71,'General Information'!$AF$16:$AG$16,0)),HLOOKUP(VLOOKUP(C71,Space_Type_Details,8,FALSE),'General Information'!$P$15:$AG$28,14,FALSE))),"")</f>
        <v/>
      </c>
      <c r="V71" s="50" t="str">
        <f>IFERROR(VLOOKUP(INDEX(Space_Type_Details,MATCH('Lighting Inventory'!$C71,'General Information'!$C$40:$C$60,0),12),Lookups!$L$8:$N$12,2,FALSE),"")</f>
        <v/>
      </c>
      <c r="W71" s="50" t="str">
        <f>IFERROR(VLOOKUP(INDEX(Space_Type_Details,MATCH('Lighting Inventory'!$C71,'General Information'!$C$40:$C$60,0),12),Lookups!$L$8:$N$12,3,FALSE),"")</f>
        <v/>
      </c>
      <c r="X71" s="51" t="str">
        <f>IFERROR(IF(C71="","",IF('General Information'!$D$24="Retrofit",VLOOKUP('Lighting Inventory'!I71,SVG_Factors,2,FALSE),IF('General Information'!$D$24="New Construction",VLOOKUP(VLOOKUP('General Information'!$D$23,LPD_BuildingArea,5,FALSE),SVG_Factors_NC,3,FALSE),""))),"")</f>
        <v/>
      </c>
      <c r="Y71" s="52" t="str">
        <f t="shared" si="5"/>
        <v/>
      </c>
      <c r="Z71" s="53" t="str">
        <f t="shared" si="14"/>
        <v/>
      </c>
      <c r="AA71" s="51" t="str">
        <f t="shared" si="15"/>
        <v/>
      </c>
      <c r="AB71" s="54" t="str">
        <f t="shared" si="16"/>
        <v/>
      </c>
      <c r="AC71" s="55" t="str">
        <f t="shared" si="17"/>
        <v/>
      </c>
      <c r="AD71" s="54" t="str">
        <f t="shared" si="18"/>
        <v/>
      </c>
      <c r="AE71" s="55" t="str">
        <f t="shared" si="19"/>
        <v/>
      </c>
      <c r="AF71" s="54" t="str">
        <f t="shared" si="20"/>
        <v/>
      </c>
      <c r="AG71" s="203">
        <f t="shared" si="21"/>
        <v>0</v>
      </c>
      <c r="AH71" s="203">
        <f t="shared" si="6"/>
        <v>0</v>
      </c>
      <c r="AI71" s="203">
        <f t="shared" si="7"/>
        <v>0</v>
      </c>
    </row>
    <row r="72" spans="1:35" x14ac:dyDescent="0.25">
      <c r="A72" s="197">
        <f t="shared" si="8"/>
        <v>0</v>
      </c>
      <c r="B72" s="31">
        <v>60</v>
      </c>
      <c r="C72" s="174"/>
      <c r="D72" s="175"/>
      <c r="E72" s="176"/>
      <c r="F72" s="45" t="str">
        <f t="shared" si="9"/>
        <v/>
      </c>
      <c r="G72" s="180"/>
      <c r="H72" s="46" t="str">
        <f t="shared" si="10"/>
        <v/>
      </c>
      <c r="I72" s="182"/>
      <c r="J72" s="47" t="str">
        <f>IFERROR(IF('General Information'!$D$24="New Construction",VLOOKUP(C72,Space_Type_Details,18,FALSE),VLOOKUP(E72,Wattage_Table,11,FALSE)),"")</f>
        <v/>
      </c>
      <c r="K72" s="383" t="str">
        <f>IFERROR(IF('General Information'!$D$24="New Construction",VLOOKUP(C72,Space_Type_Details,13,FALSE)/COUNTIF($C$13:$C$82,C72),VLOOKUP(J72,Wattage_Table,10,FALSE)),"")</f>
        <v/>
      </c>
      <c r="L72" s="48" t="str">
        <f>IFERROR(IF('General Information'!$D$24="New Construction",J72*K72,IF(G72="","",K72*G72)),"")</f>
        <v/>
      </c>
      <c r="M72" s="184"/>
      <c r="N72" s="45" t="str">
        <f t="shared" si="11"/>
        <v/>
      </c>
      <c r="O72" s="180"/>
      <c r="P72" s="45" t="str">
        <f t="shared" si="12"/>
        <v/>
      </c>
      <c r="Q72" s="180"/>
      <c r="R72" s="46" t="str">
        <f t="shared" si="13"/>
        <v/>
      </c>
      <c r="S72" s="182"/>
      <c r="T72" s="49" t="str">
        <f>IFERROR(IF(C72="","",IF(VLOOKUP(C72,Space_Type_Details,8,FALSE)="TRM",INDEX('General Information'!$AF$17:$AG$28,11,MATCH(N72,'General Information'!$AF$16:$AG$16,0)),HLOOKUP(VLOOKUP(C72,Space_Type_Details,8,FALSE),'General Information'!$P$15:$AG$28,13,FALSE))),"")</f>
        <v/>
      </c>
      <c r="U72" s="50" t="str">
        <f>IFERROR(IF(C72="","",IF(VLOOKUP(C72,Space_Type_Details,8,FALSE)="TRM",INDEX('General Information'!$AF$17:$AG$28,12,MATCH(N72,'General Information'!$AF$16:$AG$16,0)),HLOOKUP(VLOOKUP(C72,Space_Type_Details,8,FALSE),'General Information'!$P$15:$AG$28,14,FALSE))),"")</f>
        <v/>
      </c>
      <c r="V72" s="50" t="str">
        <f>IFERROR(VLOOKUP(INDEX(Space_Type_Details,MATCH('Lighting Inventory'!$C72,'General Information'!$C$40:$C$60,0),12),Lookups!$L$8:$N$12,2,FALSE),"")</f>
        <v/>
      </c>
      <c r="W72" s="50" t="str">
        <f>IFERROR(VLOOKUP(INDEX(Space_Type_Details,MATCH('Lighting Inventory'!$C72,'General Information'!$C$40:$C$60,0),12),Lookups!$L$8:$N$12,3,FALSE),"")</f>
        <v/>
      </c>
      <c r="X72" s="51" t="str">
        <f>IFERROR(IF(C72="","",IF('General Information'!$D$24="Retrofit",VLOOKUP('Lighting Inventory'!I72,SVG_Factors,2,FALSE),IF('General Information'!$D$24="New Construction",VLOOKUP(VLOOKUP('General Information'!$D$23,LPD_BuildingArea,5,FALSE),SVG_Factors_NC,3,FALSE),""))),"")</f>
        <v/>
      </c>
      <c r="Y72" s="52" t="str">
        <f t="shared" si="5"/>
        <v/>
      </c>
      <c r="Z72" s="53" t="str">
        <f t="shared" si="14"/>
        <v/>
      </c>
      <c r="AA72" s="51" t="str">
        <f t="shared" si="15"/>
        <v/>
      </c>
      <c r="AB72" s="54" t="str">
        <f t="shared" si="16"/>
        <v/>
      </c>
      <c r="AC72" s="55" t="str">
        <f t="shared" si="17"/>
        <v/>
      </c>
      <c r="AD72" s="54" t="str">
        <f t="shared" si="18"/>
        <v/>
      </c>
      <c r="AE72" s="55" t="str">
        <f t="shared" si="19"/>
        <v/>
      </c>
      <c r="AF72" s="54" t="str">
        <f t="shared" si="20"/>
        <v/>
      </c>
      <c r="AG72" s="203">
        <f t="shared" si="21"/>
        <v>0</v>
      </c>
      <c r="AH72" s="203">
        <f t="shared" si="6"/>
        <v>0</v>
      </c>
      <c r="AI72" s="203">
        <f t="shared" si="7"/>
        <v>0</v>
      </c>
    </row>
    <row r="73" spans="1:35" x14ac:dyDescent="0.25">
      <c r="A73" s="197">
        <f t="shared" si="8"/>
        <v>0</v>
      </c>
      <c r="B73" s="31">
        <v>61</v>
      </c>
      <c r="C73" s="174"/>
      <c r="D73" s="175"/>
      <c r="E73" s="176"/>
      <c r="F73" s="45" t="str">
        <f t="shared" si="9"/>
        <v/>
      </c>
      <c r="G73" s="180"/>
      <c r="H73" s="46" t="str">
        <f t="shared" si="10"/>
        <v/>
      </c>
      <c r="I73" s="182"/>
      <c r="J73" s="47" t="str">
        <f>IFERROR(IF('General Information'!$D$24="New Construction",VLOOKUP(C73,Space_Type_Details,18,FALSE),VLOOKUP(E73,Wattage_Table,11,FALSE)),"")</f>
        <v/>
      </c>
      <c r="K73" s="383" t="str">
        <f>IFERROR(IF('General Information'!$D$24="New Construction",VLOOKUP(C73,Space_Type_Details,13,FALSE)/COUNTIF($C$13:$C$82,C73),VLOOKUP(J73,Wattage_Table,10,FALSE)),"")</f>
        <v/>
      </c>
      <c r="L73" s="48" t="str">
        <f>IFERROR(IF('General Information'!$D$24="New Construction",J73*K73,IF(G73="","",K73*G73)),"")</f>
        <v/>
      </c>
      <c r="M73" s="184"/>
      <c r="N73" s="45" t="str">
        <f t="shared" si="11"/>
        <v/>
      </c>
      <c r="O73" s="180"/>
      <c r="P73" s="45" t="str">
        <f t="shared" si="12"/>
        <v/>
      </c>
      <c r="Q73" s="180"/>
      <c r="R73" s="46" t="str">
        <f t="shared" si="13"/>
        <v/>
      </c>
      <c r="S73" s="182"/>
      <c r="T73" s="49" t="str">
        <f>IFERROR(IF(C73="","",IF(VLOOKUP(C73,Space_Type_Details,8,FALSE)="TRM",INDEX('General Information'!$AF$17:$AG$28,11,MATCH(N73,'General Information'!$AF$16:$AG$16,0)),HLOOKUP(VLOOKUP(C73,Space_Type_Details,8,FALSE),'General Information'!$P$15:$AG$28,13,FALSE))),"")</f>
        <v/>
      </c>
      <c r="U73" s="50" t="str">
        <f>IFERROR(IF(C73="","",IF(VLOOKUP(C73,Space_Type_Details,8,FALSE)="TRM",INDEX('General Information'!$AF$17:$AG$28,12,MATCH(N73,'General Information'!$AF$16:$AG$16,0)),HLOOKUP(VLOOKUP(C73,Space_Type_Details,8,FALSE),'General Information'!$P$15:$AG$28,14,FALSE))),"")</f>
        <v/>
      </c>
      <c r="V73" s="50" t="str">
        <f>IFERROR(VLOOKUP(INDEX(Space_Type_Details,MATCH('Lighting Inventory'!$C73,'General Information'!$C$40:$C$60,0),12),Lookups!$L$8:$N$12,2,FALSE),"")</f>
        <v/>
      </c>
      <c r="W73" s="50" t="str">
        <f>IFERROR(VLOOKUP(INDEX(Space_Type_Details,MATCH('Lighting Inventory'!$C73,'General Information'!$C$40:$C$60,0),12),Lookups!$L$8:$N$12,3,FALSE),"")</f>
        <v/>
      </c>
      <c r="X73" s="51" t="str">
        <f>IFERROR(IF(C73="","",IF('General Information'!$D$24="Retrofit",VLOOKUP('Lighting Inventory'!I73,SVG_Factors,2,FALSE),IF('General Information'!$D$24="New Construction",VLOOKUP(VLOOKUP('General Information'!$D$23,LPD_BuildingArea,5,FALSE),SVG_Factors_NC,3,FALSE),""))),"")</f>
        <v/>
      </c>
      <c r="Y73" s="52" t="str">
        <f t="shared" si="5"/>
        <v/>
      </c>
      <c r="Z73" s="53" t="str">
        <f t="shared" si="14"/>
        <v/>
      </c>
      <c r="AA73" s="51" t="str">
        <f t="shared" si="15"/>
        <v/>
      </c>
      <c r="AB73" s="54" t="str">
        <f t="shared" si="16"/>
        <v/>
      </c>
      <c r="AC73" s="55" t="str">
        <f t="shared" si="17"/>
        <v/>
      </c>
      <c r="AD73" s="54" t="str">
        <f t="shared" si="18"/>
        <v/>
      </c>
      <c r="AE73" s="55" t="str">
        <f t="shared" si="19"/>
        <v/>
      </c>
      <c r="AF73" s="54" t="str">
        <f t="shared" si="20"/>
        <v/>
      </c>
      <c r="AG73" s="203">
        <f t="shared" si="21"/>
        <v>0</v>
      </c>
      <c r="AH73" s="203">
        <f t="shared" si="6"/>
        <v>0</v>
      </c>
      <c r="AI73" s="203">
        <f t="shared" si="7"/>
        <v>0</v>
      </c>
    </row>
    <row r="74" spans="1:35" x14ac:dyDescent="0.25">
      <c r="A74" s="197">
        <f t="shared" si="8"/>
        <v>0</v>
      </c>
      <c r="B74" s="31">
        <v>62</v>
      </c>
      <c r="C74" s="174"/>
      <c r="D74" s="175"/>
      <c r="E74" s="176"/>
      <c r="F74" s="45" t="str">
        <f t="shared" si="9"/>
        <v/>
      </c>
      <c r="G74" s="180"/>
      <c r="H74" s="46" t="str">
        <f t="shared" si="10"/>
        <v/>
      </c>
      <c r="I74" s="182"/>
      <c r="J74" s="47" t="str">
        <f>IFERROR(IF('General Information'!$D$24="New Construction",VLOOKUP(C74,Space_Type_Details,18,FALSE),VLOOKUP(E74,Wattage_Table,11,FALSE)),"")</f>
        <v/>
      </c>
      <c r="K74" s="383" t="str">
        <f>IFERROR(IF('General Information'!$D$24="New Construction",VLOOKUP(C74,Space_Type_Details,13,FALSE)/COUNTIF($C$13:$C$82,C74),VLOOKUP(J74,Wattage_Table,10,FALSE)),"")</f>
        <v/>
      </c>
      <c r="L74" s="48" t="str">
        <f>IFERROR(IF('General Information'!$D$24="New Construction",J74*K74,IF(G74="","",K74*G74)),"")</f>
        <v/>
      </c>
      <c r="M74" s="184"/>
      <c r="N74" s="45" t="str">
        <f t="shared" si="11"/>
        <v/>
      </c>
      <c r="O74" s="180"/>
      <c r="P74" s="45" t="str">
        <f t="shared" si="12"/>
        <v/>
      </c>
      <c r="Q74" s="180"/>
      <c r="R74" s="46" t="str">
        <f t="shared" si="13"/>
        <v/>
      </c>
      <c r="S74" s="182"/>
      <c r="T74" s="49" t="str">
        <f>IFERROR(IF(C74="","",IF(VLOOKUP(C74,Space_Type_Details,8,FALSE)="TRM",INDEX('General Information'!$AF$17:$AG$28,11,MATCH(N74,'General Information'!$AF$16:$AG$16,0)),HLOOKUP(VLOOKUP(C74,Space_Type_Details,8,FALSE),'General Information'!$P$15:$AG$28,13,FALSE))),"")</f>
        <v/>
      </c>
      <c r="U74" s="50" t="str">
        <f>IFERROR(IF(C74="","",IF(VLOOKUP(C74,Space_Type_Details,8,FALSE)="TRM",INDEX('General Information'!$AF$17:$AG$28,12,MATCH(N74,'General Information'!$AF$16:$AG$16,0)),HLOOKUP(VLOOKUP(C74,Space_Type_Details,8,FALSE),'General Information'!$P$15:$AG$28,14,FALSE))),"")</f>
        <v/>
      </c>
      <c r="V74" s="50" t="str">
        <f>IFERROR(VLOOKUP(INDEX(Space_Type_Details,MATCH('Lighting Inventory'!$C74,'General Information'!$C$40:$C$60,0),12),Lookups!$L$8:$N$12,2,FALSE),"")</f>
        <v/>
      </c>
      <c r="W74" s="50" t="str">
        <f>IFERROR(VLOOKUP(INDEX(Space_Type_Details,MATCH('Lighting Inventory'!$C74,'General Information'!$C$40:$C$60,0),12),Lookups!$L$8:$N$12,3,FALSE),"")</f>
        <v/>
      </c>
      <c r="X74" s="51" t="str">
        <f>IFERROR(IF(C74="","",IF('General Information'!$D$24="Retrofit",VLOOKUP('Lighting Inventory'!I74,SVG_Factors,2,FALSE),IF('General Information'!$D$24="New Construction",VLOOKUP(VLOOKUP('General Information'!$D$23,LPD_BuildingArea,5,FALSE),SVG_Factors_NC,3,FALSE),""))),"")</f>
        <v/>
      </c>
      <c r="Y74" s="52" t="str">
        <f t="shared" si="5"/>
        <v/>
      </c>
      <c r="Z74" s="53" t="str">
        <f t="shared" si="14"/>
        <v/>
      </c>
      <c r="AA74" s="51" t="str">
        <f t="shared" si="15"/>
        <v/>
      </c>
      <c r="AB74" s="54" t="str">
        <f t="shared" si="16"/>
        <v/>
      </c>
      <c r="AC74" s="55" t="str">
        <f t="shared" si="17"/>
        <v/>
      </c>
      <c r="AD74" s="54" t="str">
        <f t="shared" si="18"/>
        <v/>
      </c>
      <c r="AE74" s="55" t="str">
        <f t="shared" si="19"/>
        <v/>
      </c>
      <c r="AF74" s="54" t="str">
        <f t="shared" si="20"/>
        <v/>
      </c>
      <c r="AG74" s="203">
        <f t="shared" si="21"/>
        <v>0</v>
      </c>
      <c r="AH74" s="203">
        <f t="shared" si="6"/>
        <v>0</v>
      </c>
      <c r="AI74" s="203">
        <f t="shared" si="7"/>
        <v>0</v>
      </c>
    </row>
    <row r="75" spans="1:35" x14ac:dyDescent="0.25">
      <c r="A75" s="197">
        <f t="shared" si="8"/>
        <v>0</v>
      </c>
      <c r="B75" s="31">
        <v>63</v>
      </c>
      <c r="C75" s="174"/>
      <c r="D75" s="175"/>
      <c r="E75" s="176"/>
      <c r="F75" s="45" t="str">
        <f t="shared" si="9"/>
        <v/>
      </c>
      <c r="G75" s="180"/>
      <c r="H75" s="46" t="str">
        <f t="shared" si="10"/>
        <v/>
      </c>
      <c r="I75" s="182"/>
      <c r="J75" s="47" t="str">
        <f>IFERROR(IF('General Information'!$D$24="New Construction",VLOOKUP(C75,Space_Type_Details,18,FALSE),VLOOKUP(E75,Wattage_Table,11,FALSE)),"")</f>
        <v/>
      </c>
      <c r="K75" s="383" t="str">
        <f>IFERROR(IF('General Information'!$D$24="New Construction",VLOOKUP(C75,Space_Type_Details,13,FALSE)/COUNTIF($C$13:$C$82,C75),VLOOKUP(J75,Wattage_Table,10,FALSE)),"")</f>
        <v/>
      </c>
      <c r="L75" s="48" t="str">
        <f>IFERROR(IF('General Information'!$D$24="New Construction",J75*K75,IF(G75="","",K75*G75)),"")</f>
        <v/>
      </c>
      <c r="M75" s="184"/>
      <c r="N75" s="45" t="str">
        <f t="shared" si="11"/>
        <v/>
      </c>
      <c r="O75" s="180"/>
      <c r="P75" s="45" t="str">
        <f t="shared" si="12"/>
        <v/>
      </c>
      <c r="Q75" s="180"/>
      <c r="R75" s="46" t="str">
        <f t="shared" si="13"/>
        <v/>
      </c>
      <c r="S75" s="182"/>
      <c r="T75" s="49" t="str">
        <f>IFERROR(IF(C75="","",IF(VLOOKUP(C75,Space_Type_Details,8,FALSE)="TRM",INDEX('General Information'!$AF$17:$AG$28,11,MATCH(N75,'General Information'!$AF$16:$AG$16,0)),HLOOKUP(VLOOKUP(C75,Space_Type_Details,8,FALSE),'General Information'!$P$15:$AG$28,13,FALSE))),"")</f>
        <v/>
      </c>
      <c r="U75" s="50" t="str">
        <f>IFERROR(IF(C75="","",IF(VLOOKUP(C75,Space_Type_Details,8,FALSE)="TRM",INDEX('General Information'!$AF$17:$AG$28,12,MATCH(N75,'General Information'!$AF$16:$AG$16,0)),HLOOKUP(VLOOKUP(C75,Space_Type_Details,8,FALSE),'General Information'!$P$15:$AG$28,14,FALSE))),"")</f>
        <v/>
      </c>
      <c r="V75" s="50" t="str">
        <f>IFERROR(VLOOKUP(INDEX(Space_Type_Details,MATCH('Lighting Inventory'!$C75,'General Information'!$C$40:$C$60,0),12),Lookups!$L$8:$N$12,2,FALSE),"")</f>
        <v/>
      </c>
      <c r="W75" s="50" t="str">
        <f>IFERROR(VLOOKUP(INDEX(Space_Type_Details,MATCH('Lighting Inventory'!$C75,'General Information'!$C$40:$C$60,0),12),Lookups!$L$8:$N$12,3,FALSE),"")</f>
        <v/>
      </c>
      <c r="X75" s="51" t="str">
        <f>IFERROR(IF(C75="","",IF('General Information'!$D$24="Retrofit",VLOOKUP('Lighting Inventory'!I75,SVG_Factors,2,FALSE),IF('General Information'!$D$24="New Construction",VLOOKUP(VLOOKUP('General Information'!$D$23,LPD_BuildingArea,5,FALSE),SVG_Factors_NC,3,FALSE),""))),"")</f>
        <v/>
      </c>
      <c r="Y75" s="52" t="str">
        <f t="shared" si="5"/>
        <v/>
      </c>
      <c r="Z75" s="53" t="str">
        <f t="shared" si="14"/>
        <v/>
      </c>
      <c r="AA75" s="51" t="str">
        <f t="shared" si="15"/>
        <v/>
      </c>
      <c r="AB75" s="54" t="str">
        <f t="shared" si="16"/>
        <v/>
      </c>
      <c r="AC75" s="55" t="str">
        <f t="shared" si="17"/>
        <v/>
      </c>
      <c r="AD75" s="54" t="str">
        <f t="shared" si="18"/>
        <v/>
      </c>
      <c r="AE75" s="55" t="str">
        <f t="shared" si="19"/>
        <v/>
      </c>
      <c r="AF75" s="54" t="str">
        <f t="shared" si="20"/>
        <v/>
      </c>
      <c r="AG75" s="203">
        <f t="shared" si="21"/>
        <v>0</v>
      </c>
      <c r="AH75" s="203">
        <f t="shared" si="6"/>
        <v>0</v>
      </c>
      <c r="AI75" s="203">
        <f t="shared" si="7"/>
        <v>0</v>
      </c>
    </row>
    <row r="76" spans="1:35" x14ac:dyDescent="0.25">
      <c r="A76" s="197">
        <f t="shared" si="8"/>
        <v>0</v>
      </c>
      <c r="B76" s="31">
        <v>64</v>
      </c>
      <c r="C76" s="174"/>
      <c r="D76" s="175"/>
      <c r="E76" s="176"/>
      <c r="F76" s="45" t="str">
        <f t="shared" si="9"/>
        <v/>
      </c>
      <c r="G76" s="180"/>
      <c r="H76" s="46" t="str">
        <f t="shared" si="10"/>
        <v/>
      </c>
      <c r="I76" s="182"/>
      <c r="J76" s="47" t="str">
        <f>IFERROR(IF('General Information'!$D$24="New Construction",VLOOKUP(C76,Space_Type_Details,18,FALSE),VLOOKUP(E76,Wattage_Table,11,FALSE)),"")</f>
        <v/>
      </c>
      <c r="K76" s="383" t="str">
        <f>IFERROR(IF('General Information'!$D$24="New Construction",VLOOKUP(C76,Space_Type_Details,13,FALSE)/COUNTIF($C$13:$C$82,C76),VLOOKUP(J76,Wattage_Table,10,FALSE)),"")</f>
        <v/>
      </c>
      <c r="L76" s="48" t="str">
        <f>IFERROR(IF('General Information'!$D$24="New Construction",J76*K76,IF(G76="","",K76*G76)),"")</f>
        <v/>
      </c>
      <c r="M76" s="184"/>
      <c r="N76" s="45" t="str">
        <f t="shared" si="11"/>
        <v/>
      </c>
      <c r="O76" s="180"/>
      <c r="P76" s="45" t="str">
        <f t="shared" si="12"/>
        <v/>
      </c>
      <c r="Q76" s="180"/>
      <c r="R76" s="46" t="str">
        <f t="shared" si="13"/>
        <v/>
      </c>
      <c r="S76" s="182"/>
      <c r="T76" s="49" t="str">
        <f>IFERROR(IF(C76="","",IF(VLOOKUP(C76,Space_Type_Details,8,FALSE)="TRM",INDEX('General Information'!$AF$17:$AG$28,11,MATCH(N76,'General Information'!$AF$16:$AG$16,0)),HLOOKUP(VLOOKUP(C76,Space_Type_Details,8,FALSE),'General Information'!$P$15:$AG$28,13,FALSE))),"")</f>
        <v/>
      </c>
      <c r="U76" s="50" t="str">
        <f>IFERROR(IF(C76="","",IF(VLOOKUP(C76,Space_Type_Details,8,FALSE)="TRM",INDEX('General Information'!$AF$17:$AG$28,12,MATCH(N76,'General Information'!$AF$16:$AG$16,0)),HLOOKUP(VLOOKUP(C76,Space_Type_Details,8,FALSE),'General Information'!$P$15:$AG$28,14,FALSE))),"")</f>
        <v/>
      </c>
      <c r="V76" s="50" t="str">
        <f>IFERROR(VLOOKUP(INDEX(Space_Type_Details,MATCH('Lighting Inventory'!$C76,'General Information'!$C$40:$C$60,0),12),Lookups!$L$8:$N$12,2,FALSE),"")</f>
        <v/>
      </c>
      <c r="W76" s="50" t="str">
        <f>IFERROR(VLOOKUP(INDEX(Space_Type_Details,MATCH('Lighting Inventory'!$C76,'General Information'!$C$40:$C$60,0),12),Lookups!$L$8:$N$12,3,FALSE),"")</f>
        <v/>
      </c>
      <c r="X76" s="51" t="str">
        <f>IFERROR(IF(C76="","",IF('General Information'!$D$24="Retrofit",VLOOKUP('Lighting Inventory'!I76,SVG_Factors,2,FALSE),IF('General Information'!$D$24="New Construction",VLOOKUP(VLOOKUP('General Information'!$D$23,LPD_BuildingArea,5,FALSE),SVG_Factors_NC,3,FALSE),""))),"")</f>
        <v/>
      </c>
      <c r="Y76" s="52" t="str">
        <f t="shared" si="5"/>
        <v/>
      </c>
      <c r="Z76" s="53" t="str">
        <f t="shared" si="14"/>
        <v/>
      </c>
      <c r="AA76" s="51" t="str">
        <f t="shared" si="15"/>
        <v/>
      </c>
      <c r="AB76" s="54" t="str">
        <f t="shared" si="16"/>
        <v/>
      </c>
      <c r="AC76" s="55" t="str">
        <f t="shared" si="17"/>
        <v/>
      </c>
      <c r="AD76" s="54" t="str">
        <f t="shared" si="18"/>
        <v/>
      </c>
      <c r="AE76" s="55" t="str">
        <f t="shared" si="19"/>
        <v/>
      </c>
      <c r="AF76" s="54" t="str">
        <f t="shared" si="20"/>
        <v/>
      </c>
      <c r="AG76" s="203">
        <f t="shared" si="21"/>
        <v>0</v>
      </c>
      <c r="AH76" s="203">
        <f t="shared" si="6"/>
        <v>0</v>
      </c>
      <c r="AI76" s="203">
        <f t="shared" si="7"/>
        <v>0</v>
      </c>
    </row>
    <row r="77" spans="1:35" x14ac:dyDescent="0.25">
      <c r="A77" s="197">
        <f t="shared" si="8"/>
        <v>0</v>
      </c>
      <c r="B77" s="31">
        <v>65</v>
      </c>
      <c r="C77" s="174"/>
      <c r="D77" s="175"/>
      <c r="E77" s="176"/>
      <c r="F77" s="45" t="str">
        <f t="shared" si="9"/>
        <v/>
      </c>
      <c r="G77" s="180"/>
      <c r="H77" s="46" t="str">
        <f t="shared" si="10"/>
        <v/>
      </c>
      <c r="I77" s="182"/>
      <c r="J77" s="47" t="str">
        <f>IFERROR(IF('General Information'!$D$24="New Construction",VLOOKUP(C77,Space_Type_Details,18,FALSE),VLOOKUP(E77,Wattage_Table,11,FALSE)),"")</f>
        <v/>
      </c>
      <c r="K77" s="383" t="str">
        <f>IFERROR(IF('General Information'!$D$24="New Construction",VLOOKUP(C77,Space_Type_Details,13,FALSE)/COUNTIF($C$13:$C$82,C77),VLOOKUP(J77,Wattage_Table,10,FALSE)),"")</f>
        <v/>
      </c>
      <c r="L77" s="48" t="str">
        <f>IFERROR(IF('General Information'!$D$24="New Construction",J77*K77,IF(G77="","",K77*G77)),"")</f>
        <v/>
      </c>
      <c r="M77" s="184"/>
      <c r="N77" s="45" t="str">
        <f t="shared" si="11"/>
        <v/>
      </c>
      <c r="O77" s="180"/>
      <c r="P77" s="45" t="str">
        <f t="shared" si="12"/>
        <v/>
      </c>
      <c r="Q77" s="180"/>
      <c r="R77" s="46" t="str">
        <f t="shared" si="13"/>
        <v/>
      </c>
      <c r="S77" s="182"/>
      <c r="T77" s="49" t="str">
        <f>IFERROR(IF(C77="","",IF(VLOOKUP(C77,Space_Type_Details,8,FALSE)="TRM",INDEX('General Information'!$AF$17:$AG$28,11,MATCH(N77,'General Information'!$AF$16:$AG$16,0)),HLOOKUP(VLOOKUP(C77,Space_Type_Details,8,FALSE),'General Information'!$P$15:$AG$28,13,FALSE))),"")</f>
        <v/>
      </c>
      <c r="U77" s="50" t="str">
        <f>IFERROR(IF(C77="","",IF(VLOOKUP(C77,Space_Type_Details,8,FALSE)="TRM",INDEX('General Information'!$AF$17:$AG$28,12,MATCH(N77,'General Information'!$AF$16:$AG$16,0)),HLOOKUP(VLOOKUP(C77,Space_Type_Details,8,FALSE),'General Information'!$P$15:$AG$28,14,FALSE))),"")</f>
        <v/>
      </c>
      <c r="V77" s="50" t="str">
        <f>IFERROR(VLOOKUP(INDEX(Space_Type_Details,MATCH('Lighting Inventory'!$C77,'General Information'!$C$40:$C$60,0),12),Lookups!$L$8:$N$12,2,FALSE),"")</f>
        <v/>
      </c>
      <c r="W77" s="50" t="str">
        <f>IFERROR(VLOOKUP(INDEX(Space_Type_Details,MATCH('Lighting Inventory'!$C77,'General Information'!$C$40:$C$60,0),12),Lookups!$L$8:$N$12,3,FALSE),"")</f>
        <v/>
      </c>
      <c r="X77" s="51" t="str">
        <f>IFERROR(IF(C77="","",IF('General Information'!$D$24="Retrofit",VLOOKUP('Lighting Inventory'!I77,SVG_Factors,2,FALSE),IF('General Information'!$D$24="New Construction",VLOOKUP(VLOOKUP('General Information'!$D$23,LPD_BuildingArea,5,FALSE),SVG_Factors_NC,3,FALSE),""))),"")</f>
        <v/>
      </c>
      <c r="Y77" s="52" t="str">
        <f t="shared" ref="Y77:Y82" si="22">IFERROR(IF(C77="","",VLOOKUP(S77,SVG_Factors,2,FALSE)),"")</f>
        <v/>
      </c>
      <c r="Z77" s="53" t="str">
        <f t="shared" si="14"/>
        <v/>
      </c>
      <c r="AA77" s="51" t="str">
        <f t="shared" si="15"/>
        <v/>
      </c>
      <c r="AB77" s="54" t="str">
        <f t="shared" si="16"/>
        <v/>
      </c>
      <c r="AC77" s="55" t="str">
        <f t="shared" si="17"/>
        <v/>
      </c>
      <c r="AD77" s="54" t="str">
        <f t="shared" si="18"/>
        <v/>
      </c>
      <c r="AE77" s="55" t="str">
        <f t="shared" si="19"/>
        <v/>
      </c>
      <c r="AF77" s="54" t="str">
        <f t="shared" si="20"/>
        <v/>
      </c>
      <c r="AG77" s="203">
        <f t="shared" si="21"/>
        <v>0</v>
      </c>
      <c r="AH77" s="203">
        <f t="shared" ref="AH77:AH82" si="23">IFERROR(VLOOKUP(E77,Wattage_Table,8,FALSE)*G77,0)</f>
        <v>0</v>
      </c>
      <c r="AI77" s="203">
        <f t="shared" ref="AI77:AI82" si="24">IFERROR(VLOOKUP(M77,Wattage_Table,8,FALSE)*Q77,0)</f>
        <v>0</v>
      </c>
    </row>
    <row r="78" spans="1:35" x14ac:dyDescent="0.25">
      <c r="A78" s="197">
        <f t="shared" ref="A78:A82" si="25">IF(E78&lt;&gt;J78,1,0)</f>
        <v>0</v>
      </c>
      <c r="B78" s="31">
        <v>66</v>
      </c>
      <c r="C78" s="174"/>
      <c r="D78" s="175"/>
      <c r="E78" s="176"/>
      <c r="F78" s="45" t="str">
        <f t="shared" ref="F78:F82" si="26">IFERROR(VLOOKUP(E78,Wattage_Table,10,FALSE),"")</f>
        <v/>
      </c>
      <c r="G78" s="180"/>
      <c r="H78" s="46" t="str">
        <f t="shared" ref="H78:H82" si="27">IF(G78="","",G78*F78)</f>
        <v/>
      </c>
      <c r="I78" s="182"/>
      <c r="J78" s="47" t="str">
        <f>IFERROR(IF('General Information'!$D$24="New Construction",VLOOKUP(C78,Space_Type_Details,18,FALSE),VLOOKUP(E78,Wattage_Table,11,FALSE)),"")</f>
        <v/>
      </c>
      <c r="K78" s="383" t="str">
        <f>IFERROR(IF('General Information'!$D$24="New Construction",VLOOKUP(C78,Space_Type_Details,13,FALSE)/COUNTIF($C$13:$C$82,C78),VLOOKUP(J78,Wattage_Table,10,FALSE)),"")</f>
        <v/>
      </c>
      <c r="L78" s="48" t="str">
        <f>IFERROR(IF('General Information'!$D$24="New Construction",J78*K78,IF(G78="","",K78*G78)),"")</f>
        <v/>
      </c>
      <c r="M78" s="184"/>
      <c r="N78" s="45" t="str">
        <f t="shared" ref="N78:N82" si="28">IFERROR(VLOOKUP(M78,Wattage_Table,12,FALSE),"")</f>
        <v/>
      </c>
      <c r="O78" s="180"/>
      <c r="P78" s="45" t="str">
        <f t="shared" ref="P78:P82" si="29">IFERROR(VLOOKUP(M78,Wattage_Table,10,FALSE),"")</f>
        <v/>
      </c>
      <c r="Q78" s="180"/>
      <c r="R78" s="46" t="str">
        <f t="shared" ref="R78:R82" si="30">IF(P78="","",Q78*P78)</f>
        <v/>
      </c>
      <c r="S78" s="182"/>
      <c r="T78" s="49" t="str">
        <f>IFERROR(IF(C78="","",IF(VLOOKUP(C78,Space_Type_Details,8,FALSE)="TRM",INDEX('General Information'!$AF$17:$AG$28,11,MATCH(N78,'General Information'!$AF$16:$AG$16,0)),HLOOKUP(VLOOKUP(C78,Space_Type_Details,8,FALSE),'General Information'!$P$15:$AG$28,13,FALSE))),"")</f>
        <v/>
      </c>
      <c r="U78" s="50" t="str">
        <f>IFERROR(IF(C78="","",IF(VLOOKUP(C78,Space_Type_Details,8,FALSE)="TRM",INDEX('General Information'!$AF$17:$AG$28,12,MATCH(N78,'General Information'!$AF$16:$AG$16,0)),HLOOKUP(VLOOKUP(C78,Space_Type_Details,8,FALSE),'General Information'!$P$15:$AG$28,14,FALSE))),"")</f>
        <v/>
      </c>
      <c r="V78" s="50" t="str">
        <f>IFERROR(VLOOKUP(INDEX(Space_Type_Details,MATCH('Lighting Inventory'!$C78,'General Information'!$C$40:$C$60,0),12),Lookups!$L$8:$N$12,2,FALSE),"")</f>
        <v/>
      </c>
      <c r="W78" s="50" t="str">
        <f>IFERROR(VLOOKUP(INDEX(Space_Type_Details,MATCH('Lighting Inventory'!$C78,'General Information'!$C$40:$C$60,0),12),Lookups!$L$8:$N$12,3,FALSE),"")</f>
        <v/>
      </c>
      <c r="X78" s="51" t="str">
        <f>IFERROR(IF(C78="","",IF('General Information'!$D$24="Retrofit",VLOOKUP('Lighting Inventory'!I78,SVG_Factors,2,FALSE),IF('General Information'!$D$24="New Construction",VLOOKUP(VLOOKUP('General Information'!$D$23,LPD_BuildingArea,5,FALSE),SVG_Factors_NC,3,FALSE),""))),"")</f>
        <v/>
      </c>
      <c r="Y78" s="52" t="str">
        <f t="shared" si="22"/>
        <v/>
      </c>
      <c r="Z78" s="53" t="str">
        <f t="shared" ref="Z78:Z82" si="31">IFERROR((L78-R78)/1000,"")</f>
        <v/>
      </c>
      <c r="AA78" s="51" t="str">
        <f t="shared" ref="AA78:AA82" si="32">IFERROR(Z78*U78*(1+W78),"")</f>
        <v/>
      </c>
      <c r="AB78" s="54" t="str">
        <f t="shared" ref="AB78:AB82" si="33">IFERROR(Z78*T78*(1+V78),"")</f>
        <v/>
      </c>
      <c r="AC78" s="55" t="str">
        <f t="shared" ref="AC78:AC82" si="34">IFERROR(R78/1000*(Y78-X78)*(1+W78)*U78,"")</f>
        <v/>
      </c>
      <c r="AD78" s="54" t="str">
        <f t="shared" ref="AD78:AD82" si="35">IFERROR(R78/1000*T78*(Y78-X78)*(1+V78),"")</f>
        <v/>
      </c>
      <c r="AE78" s="55" t="str">
        <f t="shared" ref="AE78:AE82" si="36">IFERROR(AA78+AC78,"")</f>
        <v/>
      </c>
      <c r="AF78" s="54" t="str">
        <f t="shared" ref="AF78:AF82" si="37">IFERROR(AB78+AD78,"")</f>
        <v/>
      </c>
      <c r="AG78" s="203">
        <f t="shared" ref="AG78:AG82" si="38">IF(I78&lt;&gt;S78,R78,0)</f>
        <v>0</v>
      </c>
      <c r="AH78" s="203">
        <f t="shared" si="23"/>
        <v>0</v>
      </c>
      <c r="AI78" s="203">
        <f t="shared" si="24"/>
        <v>0</v>
      </c>
    </row>
    <row r="79" spans="1:35" x14ac:dyDescent="0.25">
      <c r="A79" s="197">
        <f t="shared" si="25"/>
        <v>0</v>
      </c>
      <c r="B79" s="31">
        <v>67</v>
      </c>
      <c r="C79" s="174"/>
      <c r="D79" s="175"/>
      <c r="E79" s="176"/>
      <c r="F79" s="45" t="str">
        <f t="shared" si="26"/>
        <v/>
      </c>
      <c r="G79" s="180"/>
      <c r="H79" s="46" t="str">
        <f t="shared" si="27"/>
        <v/>
      </c>
      <c r="I79" s="182"/>
      <c r="J79" s="47" t="str">
        <f>IFERROR(IF('General Information'!$D$24="New Construction",VLOOKUP(C79,Space_Type_Details,18,FALSE),VLOOKUP(E79,Wattage_Table,11,FALSE)),"")</f>
        <v/>
      </c>
      <c r="K79" s="383" t="str">
        <f>IFERROR(IF('General Information'!$D$24="New Construction",VLOOKUP(C79,Space_Type_Details,13,FALSE)/COUNTIF($C$13:$C$82,C79),VLOOKUP(J79,Wattage_Table,10,FALSE)),"")</f>
        <v/>
      </c>
      <c r="L79" s="48" t="str">
        <f>IFERROR(IF('General Information'!$D$24="New Construction",J79*K79,IF(G79="","",K79*G79)),"")</f>
        <v/>
      </c>
      <c r="M79" s="184"/>
      <c r="N79" s="45" t="str">
        <f t="shared" si="28"/>
        <v/>
      </c>
      <c r="O79" s="180"/>
      <c r="P79" s="45" t="str">
        <f t="shared" si="29"/>
        <v/>
      </c>
      <c r="Q79" s="180"/>
      <c r="R79" s="46" t="str">
        <f t="shared" si="30"/>
        <v/>
      </c>
      <c r="S79" s="182"/>
      <c r="T79" s="49" t="str">
        <f>IFERROR(IF(C79="","",IF(VLOOKUP(C79,Space_Type_Details,8,FALSE)="TRM",INDEX('General Information'!$AF$17:$AG$28,11,MATCH(N79,'General Information'!$AF$16:$AG$16,0)),HLOOKUP(VLOOKUP(C79,Space_Type_Details,8,FALSE),'General Information'!$P$15:$AG$28,13,FALSE))),"")</f>
        <v/>
      </c>
      <c r="U79" s="50" t="str">
        <f>IFERROR(IF(C79="","",IF(VLOOKUP(C79,Space_Type_Details,8,FALSE)="TRM",INDEX('General Information'!$AF$17:$AG$28,12,MATCH(N79,'General Information'!$AF$16:$AG$16,0)),HLOOKUP(VLOOKUP(C79,Space_Type_Details,8,FALSE),'General Information'!$P$15:$AG$28,14,FALSE))),"")</f>
        <v/>
      </c>
      <c r="V79" s="50" t="str">
        <f>IFERROR(VLOOKUP(INDEX(Space_Type_Details,MATCH('Lighting Inventory'!$C79,'General Information'!$C$40:$C$60,0),12),Lookups!$L$8:$N$12,2,FALSE),"")</f>
        <v/>
      </c>
      <c r="W79" s="50" t="str">
        <f>IFERROR(VLOOKUP(INDEX(Space_Type_Details,MATCH('Lighting Inventory'!$C79,'General Information'!$C$40:$C$60,0),12),Lookups!$L$8:$N$12,3,FALSE),"")</f>
        <v/>
      </c>
      <c r="X79" s="51" t="str">
        <f>IFERROR(IF(C79="","",IF('General Information'!$D$24="Retrofit",VLOOKUP('Lighting Inventory'!I79,SVG_Factors,2,FALSE),IF('General Information'!$D$24="New Construction",VLOOKUP(VLOOKUP('General Information'!$D$23,LPD_BuildingArea,5,FALSE),SVG_Factors_NC,3,FALSE),""))),"")</f>
        <v/>
      </c>
      <c r="Y79" s="52" t="str">
        <f t="shared" si="22"/>
        <v/>
      </c>
      <c r="Z79" s="53" t="str">
        <f t="shared" si="31"/>
        <v/>
      </c>
      <c r="AA79" s="51" t="str">
        <f t="shared" si="32"/>
        <v/>
      </c>
      <c r="AB79" s="54" t="str">
        <f t="shared" si="33"/>
        <v/>
      </c>
      <c r="AC79" s="55" t="str">
        <f t="shared" si="34"/>
        <v/>
      </c>
      <c r="AD79" s="54" t="str">
        <f t="shared" si="35"/>
        <v/>
      </c>
      <c r="AE79" s="55" t="str">
        <f t="shared" si="36"/>
        <v/>
      </c>
      <c r="AF79" s="54" t="str">
        <f t="shared" si="37"/>
        <v/>
      </c>
      <c r="AG79" s="203">
        <f t="shared" si="38"/>
        <v>0</v>
      </c>
      <c r="AH79" s="203">
        <f t="shared" si="23"/>
        <v>0</v>
      </c>
      <c r="AI79" s="203">
        <f t="shared" si="24"/>
        <v>0</v>
      </c>
    </row>
    <row r="80" spans="1:35" x14ac:dyDescent="0.25">
      <c r="A80" s="197">
        <f t="shared" si="25"/>
        <v>0</v>
      </c>
      <c r="B80" s="31">
        <v>68</v>
      </c>
      <c r="C80" s="174"/>
      <c r="D80" s="175"/>
      <c r="E80" s="176"/>
      <c r="F80" s="45" t="str">
        <f t="shared" si="26"/>
        <v/>
      </c>
      <c r="G80" s="180"/>
      <c r="H80" s="46" t="str">
        <f t="shared" si="27"/>
        <v/>
      </c>
      <c r="I80" s="182"/>
      <c r="J80" s="47" t="str">
        <f>IFERROR(IF('General Information'!$D$24="New Construction",VLOOKUP(C80,Space_Type_Details,18,FALSE),VLOOKUP(E80,Wattage_Table,11,FALSE)),"")</f>
        <v/>
      </c>
      <c r="K80" s="383" t="str">
        <f>IFERROR(IF('General Information'!$D$24="New Construction",VLOOKUP(C80,Space_Type_Details,13,FALSE)/COUNTIF($C$13:$C$82,C80),VLOOKUP(J80,Wattage_Table,10,FALSE)),"")</f>
        <v/>
      </c>
      <c r="L80" s="48" t="str">
        <f>IFERROR(IF('General Information'!$D$24="New Construction",J80*K80,IF(G80="","",K80*G80)),"")</f>
        <v/>
      </c>
      <c r="M80" s="184"/>
      <c r="N80" s="45" t="str">
        <f t="shared" si="28"/>
        <v/>
      </c>
      <c r="O80" s="180"/>
      <c r="P80" s="45" t="str">
        <f t="shared" si="29"/>
        <v/>
      </c>
      <c r="Q80" s="180"/>
      <c r="R80" s="46" t="str">
        <f t="shared" si="30"/>
        <v/>
      </c>
      <c r="S80" s="182"/>
      <c r="T80" s="49" t="str">
        <f>IFERROR(IF(C80="","",IF(VLOOKUP(C80,Space_Type_Details,8,FALSE)="TRM",INDEX('General Information'!$AF$17:$AG$28,11,MATCH(N80,'General Information'!$AF$16:$AG$16,0)),HLOOKUP(VLOOKUP(C80,Space_Type_Details,8,FALSE),'General Information'!$P$15:$AG$28,13,FALSE))),"")</f>
        <v/>
      </c>
      <c r="U80" s="50" t="str">
        <f>IFERROR(IF(C80="","",IF(VLOOKUP(C80,Space_Type_Details,8,FALSE)="TRM",INDEX('General Information'!$AF$17:$AG$28,12,MATCH(N80,'General Information'!$AF$16:$AG$16,0)),HLOOKUP(VLOOKUP(C80,Space_Type_Details,8,FALSE),'General Information'!$P$15:$AG$28,14,FALSE))),"")</f>
        <v/>
      </c>
      <c r="V80" s="50" t="str">
        <f>IFERROR(VLOOKUP(INDEX(Space_Type_Details,MATCH('Lighting Inventory'!$C80,'General Information'!$C$40:$C$60,0),12),Lookups!$L$8:$N$12,2,FALSE),"")</f>
        <v/>
      </c>
      <c r="W80" s="50" t="str">
        <f>IFERROR(VLOOKUP(INDEX(Space_Type_Details,MATCH('Lighting Inventory'!$C80,'General Information'!$C$40:$C$60,0),12),Lookups!$L$8:$N$12,3,FALSE),"")</f>
        <v/>
      </c>
      <c r="X80" s="51" t="str">
        <f>IFERROR(IF(C80="","",IF('General Information'!$D$24="Retrofit",VLOOKUP('Lighting Inventory'!I80,SVG_Factors,2,FALSE),IF('General Information'!$D$24="New Construction",VLOOKUP(VLOOKUP('General Information'!$D$23,LPD_BuildingArea,5,FALSE),SVG_Factors_NC,3,FALSE),""))),"")</f>
        <v/>
      </c>
      <c r="Y80" s="52" t="str">
        <f t="shared" si="22"/>
        <v/>
      </c>
      <c r="Z80" s="53" t="str">
        <f t="shared" si="31"/>
        <v/>
      </c>
      <c r="AA80" s="51" t="str">
        <f t="shared" si="32"/>
        <v/>
      </c>
      <c r="AB80" s="54" t="str">
        <f t="shared" si="33"/>
        <v/>
      </c>
      <c r="AC80" s="55" t="str">
        <f t="shared" si="34"/>
        <v/>
      </c>
      <c r="AD80" s="54" t="str">
        <f t="shared" si="35"/>
        <v/>
      </c>
      <c r="AE80" s="55" t="str">
        <f t="shared" si="36"/>
        <v/>
      </c>
      <c r="AF80" s="54" t="str">
        <f t="shared" si="37"/>
        <v/>
      </c>
      <c r="AG80" s="203">
        <f t="shared" si="38"/>
        <v>0</v>
      </c>
      <c r="AH80" s="203">
        <f t="shared" si="23"/>
        <v>0</v>
      </c>
      <c r="AI80" s="203">
        <f t="shared" si="24"/>
        <v>0</v>
      </c>
    </row>
    <row r="81" spans="1:35" x14ac:dyDescent="0.25">
      <c r="A81" s="197">
        <f t="shared" si="25"/>
        <v>0</v>
      </c>
      <c r="B81" s="31">
        <v>69</v>
      </c>
      <c r="C81" s="174"/>
      <c r="D81" s="175"/>
      <c r="E81" s="176"/>
      <c r="F81" s="45" t="str">
        <f t="shared" si="26"/>
        <v/>
      </c>
      <c r="G81" s="180"/>
      <c r="H81" s="46" t="str">
        <f t="shared" si="27"/>
        <v/>
      </c>
      <c r="I81" s="182"/>
      <c r="J81" s="47" t="str">
        <f>IFERROR(IF('General Information'!$D$24="New Construction",VLOOKUP(C81,Space_Type_Details,18,FALSE),VLOOKUP(E81,Wattage_Table,11,FALSE)),"")</f>
        <v/>
      </c>
      <c r="K81" s="383" t="str">
        <f>IFERROR(IF('General Information'!$D$24="New Construction",VLOOKUP(C81,Space_Type_Details,13,FALSE)/COUNTIF($C$13:$C$82,C81),VLOOKUP(J81,Wattage_Table,10,FALSE)),"")</f>
        <v/>
      </c>
      <c r="L81" s="48" t="str">
        <f>IFERROR(IF('General Information'!$D$24="New Construction",J81*K81,IF(G81="","",K81*G81)),"")</f>
        <v/>
      </c>
      <c r="M81" s="184"/>
      <c r="N81" s="45" t="str">
        <f t="shared" si="28"/>
        <v/>
      </c>
      <c r="O81" s="180"/>
      <c r="P81" s="45" t="str">
        <f t="shared" si="29"/>
        <v/>
      </c>
      <c r="Q81" s="180"/>
      <c r="R81" s="46" t="str">
        <f t="shared" si="30"/>
        <v/>
      </c>
      <c r="S81" s="182"/>
      <c r="T81" s="49" t="str">
        <f>IFERROR(IF(C81="","",IF(VLOOKUP(C81,Space_Type_Details,8,FALSE)="TRM",INDEX('General Information'!$AF$17:$AG$28,11,MATCH(N81,'General Information'!$AF$16:$AG$16,0)),HLOOKUP(VLOOKUP(C81,Space_Type_Details,8,FALSE),'General Information'!$P$15:$AG$28,13,FALSE))),"")</f>
        <v/>
      </c>
      <c r="U81" s="50" t="str">
        <f>IFERROR(IF(C81="","",IF(VLOOKUP(C81,Space_Type_Details,8,FALSE)="TRM",INDEX('General Information'!$AF$17:$AG$28,12,MATCH(N81,'General Information'!$AF$16:$AG$16,0)),HLOOKUP(VLOOKUP(C81,Space_Type_Details,8,FALSE),'General Information'!$P$15:$AG$28,14,FALSE))),"")</f>
        <v/>
      </c>
      <c r="V81" s="50" t="str">
        <f>IFERROR(VLOOKUP(INDEX(Space_Type_Details,MATCH('Lighting Inventory'!$C81,'General Information'!$C$40:$C$60,0),12),Lookups!$L$8:$N$12,2,FALSE),"")</f>
        <v/>
      </c>
      <c r="W81" s="50" t="str">
        <f>IFERROR(VLOOKUP(INDEX(Space_Type_Details,MATCH('Lighting Inventory'!$C81,'General Information'!$C$40:$C$60,0),12),Lookups!$L$8:$N$12,3,FALSE),"")</f>
        <v/>
      </c>
      <c r="X81" s="51" t="str">
        <f>IFERROR(IF(C81="","",IF('General Information'!$D$24="Retrofit",VLOOKUP('Lighting Inventory'!I81,SVG_Factors,2,FALSE),IF('General Information'!$D$24="New Construction",VLOOKUP(VLOOKUP('General Information'!$D$23,LPD_BuildingArea,5,FALSE),SVG_Factors_NC,3,FALSE),""))),"")</f>
        <v/>
      </c>
      <c r="Y81" s="52" t="str">
        <f t="shared" si="22"/>
        <v/>
      </c>
      <c r="Z81" s="53" t="str">
        <f t="shared" si="31"/>
        <v/>
      </c>
      <c r="AA81" s="51" t="str">
        <f t="shared" si="32"/>
        <v/>
      </c>
      <c r="AB81" s="54" t="str">
        <f t="shared" si="33"/>
        <v/>
      </c>
      <c r="AC81" s="55" t="str">
        <f t="shared" si="34"/>
        <v/>
      </c>
      <c r="AD81" s="54" t="str">
        <f t="shared" si="35"/>
        <v/>
      </c>
      <c r="AE81" s="55" t="str">
        <f t="shared" si="36"/>
        <v/>
      </c>
      <c r="AF81" s="54" t="str">
        <f t="shared" si="37"/>
        <v/>
      </c>
      <c r="AG81" s="203">
        <f t="shared" si="38"/>
        <v>0</v>
      </c>
      <c r="AH81" s="203">
        <f t="shared" si="23"/>
        <v>0</v>
      </c>
      <c r="AI81" s="203">
        <f t="shared" si="24"/>
        <v>0</v>
      </c>
    </row>
    <row r="82" spans="1:35" ht="15.75" thickBot="1" x14ac:dyDescent="0.3">
      <c r="A82" s="197">
        <f t="shared" si="25"/>
        <v>0</v>
      </c>
      <c r="B82" s="56">
        <v>70</v>
      </c>
      <c r="C82" s="177"/>
      <c r="D82" s="178"/>
      <c r="E82" s="179"/>
      <c r="F82" s="57" t="str">
        <f t="shared" si="26"/>
        <v/>
      </c>
      <c r="G82" s="181"/>
      <c r="H82" s="58" t="str">
        <f t="shared" si="27"/>
        <v/>
      </c>
      <c r="I82" s="183"/>
      <c r="J82" s="59" t="str">
        <f>IFERROR(IF('General Information'!$D$24="New Construction",VLOOKUP(C82,Space_Type_Details,18,FALSE),VLOOKUP(E82,Wattage_Table,11,FALSE)),"")</f>
        <v/>
      </c>
      <c r="K82" s="384" t="str">
        <f>IFERROR(IF('General Information'!$D$24="New Construction",VLOOKUP(C82,Space_Type_Details,13,FALSE)/COUNTIF($C$13:$C$82,C82),VLOOKUP(J82,Wattage_Table,10,FALSE)),"")</f>
        <v/>
      </c>
      <c r="L82" s="60" t="str">
        <f>IFERROR(IF('General Information'!$D$24="New Construction",J82*K82,IF(G82="","",K82*G82)),"")</f>
        <v/>
      </c>
      <c r="M82" s="185"/>
      <c r="N82" s="57" t="str">
        <f t="shared" si="28"/>
        <v/>
      </c>
      <c r="O82" s="181"/>
      <c r="P82" s="57" t="str">
        <f t="shared" si="29"/>
        <v/>
      </c>
      <c r="Q82" s="181"/>
      <c r="R82" s="58" t="str">
        <f t="shared" si="30"/>
        <v/>
      </c>
      <c r="S82" s="183"/>
      <c r="T82" s="61" t="str">
        <f>IFERROR(IF(C82="","",IF(VLOOKUP(C82,Space_Type_Details,8,FALSE)="TRM",INDEX('General Information'!$AF$17:$AG$28,11,MATCH(N82,'General Information'!$AF$16:$AG$16,0)),HLOOKUP(VLOOKUP(C82,Space_Type_Details,8,FALSE),'General Information'!$P$15:$AG$28,13,FALSE))),"")</f>
        <v/>
      </c>
      <c r="U82" s="62" t="str">
        <f>IFERROR(IF(C82="","",IF(VLOOKUP(C82,Space_Type_Details,8,FALSE)="TRM",INDEX('General Information'!$AF$17:$AG$28,12,MATCH(N82,'General Information'!$AF$16:$AG$16,0)),HLOOKUP(VLOOKUP(C82,Space_Type_Details,8,FALSE),'General Information'!$P$15:$AG$28,14,FALSE))),"")</f>
        <v/>
      </c>
      <c r="V82" s="62" t="str">
        <f>IFERROR(VLOOKUP(INDEX(Space_Type_Details,MATCH('Lighting Inventory'!$C82,'General Information'!$C$40:$C$60,0),12),Lookups!$L$8:$N$12,2,FALSE),"")</f>
        <v/>
      </c>
      <c r="W82" s="62" t="str">
        <f>IFERROR(VLOOKUP(INDEX(Space_Type_Details,MATCH('Lighting Inventory'!$C82,'General Information'!$C$40:$C$60,0),12),Lookups!$L$8:$N$12,3,FALSE),"")</f>
        <v/>
      </c>
      <c r="X82" s="63" t="str">
        <f>IFERROR(IF(C82="","",IF('General Information'!$D$24="Retrofit",VLOOKUP('Lighting Inventory'!I82,SVG_Factors,2,FALSE),IF('General Information'!$D$24="New Construction",VLOOKUP(VLOOKUP('General Information'!$D$23,LPD_BuildingArea,5,FALSE),SVG_Factors_NC,3,FALSE),""))),"")</f>
        <v/>
      </c>
      <c r="Y82" s="64" t="str">
        <f t="shared" si="22"/>
        <v/>
      </c>
      <c r="Z82" s="65" t="str">
        <f t="shared" si="31"/>
        <v/>
      </c>
      <c r="AA82" s="63" t="str">
        <f t="shared" si="32"/>
        <v/>
      </c>
      <c r="AB82" s="66" t="str">
        <f t="shared" si="33"/>
        <v/>
      </c>
      <c r="AC82" s="67" t="str">
        <f t="shared" si="34"/>
        <v/>
      </c>
      <c r="AD82" s="66" t="str">
        <f t="shared" si="35"/>
        <v/>
      </c>
      <c r="AE82" s="67" t="str">
        <f t="shared" si="36"/>
        <v/>
      </c>
      <c r="AF82" s="66" t="str">
        <f t="shared" si="37"/>
        <v/>
      </c>
      <c r="AG82" s="203">
        <f t="shared" si="38"/>
        <v>0</v>
      </c>
      <c r="AH82" s="203">
        <f t="shared" si="23"/>
        <v>0</v>
      </c>
      <c r="AI82" s="203">
        <f t="shared" si="24"/>
        <v>0</v>
      </c>
    </row>
  </sheetData>
  <sheetProtection password="C2D4" sheet="1" objects="1" scenarios="1"/>
  <mergeCells count="15">
    <mergeCell ref="X5:Y7"/>
    <mergeCell ref="Z5:AB5"/>
    <mergeCell ref="AC5:AD5"/>
    <mergeCell ref="AE5:AF5"/>
    <mergeCell ref="E6:I6"/>
    <mergeCell ref="K6:O6"/>
    <mergeCell ref="E9:S9"/>
    <mergeCell ref="Z9:AF9"/>
    <mergeCell ref="E10:I10"/>
    <mergeCell ref="J10:L10"/>
    <mergeCell ref="M10:S10"/>
    <mergeCell ref="T10:Y10"/>
    <mergeCell ref="Z10:AB10"/>
    <mergeCell ref="AC10:AD10"/>
    <mergeCell ref="AE10:AF10"/>
  </mergeCells>
  <conditionalFormatting sqref="E13:E82">
    <cfRule type="expression" dxfId="7" priority="4">
      <formula>$E13&lt;&gt;$J13</formula>
    </cfRule>
  </conditionalFormatting>
  <conditionalFormatting sqref="E9:S9">
    <cfRule type="notContainsBlanks" dxfId="6" priority="3">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O13:O82"/>
    <dataValidation allowBlank="1" showDropDown="1" showInputMessage="1" showErrorMessage="1" error="This is not an approved fixture code. Check &quot;Wattage Table&quot; for correct fixture code." sqref="O12 J12:J82"/>
    <dataValidation type="whole" allowBlank="1" showInputMessage="1" showErrorMessage="1" sqref="G12:G82 Q12:Q82">
      <formula1>0</formula1>
      <formula2>50000</formula2>
    </dataValidation>
    <dataValidation type="list" allowBlank="1" showInputMessage="1" showErrorMessage="1" sqref="C13:C82">
      <formula1>Space_Types</formula1>
    </dataValidation>
  </dataValidations>
  <hyperlinks>
    <hyperlink ref="K6" location="'Fixture Identities'!F922" display="Using Custom Cut-Sheet Fixtures? Click here to create custom fixture codes."/>
    <hyperlink ref="E6:I6" location="'Fixture Identities'!F9" display="'Fixture Identities'!F9"/>
    <hyperlink ref="K6:O6" location="'Fixture Identities'!F932" display="'Fixture Identities'!F932"/>
  </hyperlinks>
  <pageMargins left="0.7" right="0.7" top="0.75" bottom="0.75" header="0.3" footer="0.3"/>
  <pageSetup scale="31" fitToHeight="0"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5"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1" id="{E5713062-86C9-4D07-B646-13810388E9F6}">
            <xm:f>'General Information'!$D$24="New Construction"</xm:f>
            <x14:dxf>
              <font>
                <color auto="1"/>
              </font>
              <fill>
                <patternFill patternType="darkUp"/>
              </fill>
            </x14:dxf>
          </x14:cfRule>
          <xm:sqref>Z12:AF82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DropDown="1" showInputMessage="1" showErrorMessage="1">
          <x14:formula1>
            <xm:f>'Fixture Identities'!$B$9:$B$981</xm:f>
          </x14:formula1>
          <xm:sqref>M12:M82</xm:sqref>
        </x14:dataValidation>
        <x14:dataValidation type="list" allowBlank="1" showDropDown="1" showInputMessage="1" showErrorMessage="1" error="This is not an approved fixture code. Check &quot;Wattage Table&quot; for correct fixture code.">
          <x14:formula1>
            <xm:f>'Fixture Identities'!$B$9:$B$981</xm:f>
          </x14:formula1>
          <xm:sqref>E12:E82</xm:sqref>
        </x14:dataValidation>
        <x14:dataValidation type="list" allowBlank="1" showInputMessage="1" showErrorMessage="1">
          <x14:formula1>
            <xm:f>[1]Lookups!#REF!</xm:f>
          </x14:formula1>
          <xm:sqref>S12 I12</xm:sqref>
        </x14:dataValidation>
        <x14:dataValidation type="list" allowBlank="1" showInputMessage="1" showErrorMessage="1">
          <x14:formula1>
            <xm:f>Lookups!$Q$8:$Q$21</xm:f>
          </x14:formula1>
          <xm:sqref>S13:S82 I13:I82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Y989"/>
  <sheetViews>
    <sheetView showGridLines="0" zoomScale="90" zoomScaleNormal="90" workbookViewId="0">
      <pane ySplit="8" topLeftCell="A9" activePane="bottomLeft" state="frozen"/>
      <selection pane="bottomLeft"/>
    </sheetView>
  </sheetViews>
  <sheetFormatPr defaultColWidth="9.140625" defaultRowHeight="15" x14ac:dyDescent="0.25"/>
  <cols>
    <col min="1" max="1" width="3.7109375" style="168" customWidth="1"/>
    <col min="2" max="2" width="15.7109375" style="168" customWidth="1"/>
    <col min="3" max="4" width="22.7109375" style="168" customWidth="1"/>
    <col min="5" max="5" width="12.7109375" style="168" customWidth="1"/>
    <col min="6" max="6" width="90.7109375" style="168" customWidth="1"/>
    <col min="7" max="13" width="12.7109375" style="168" customWidth="1"/>
    <col min="14" max="14" width="9.140625" style="168" customWidth="1"/>
    <col min="15" max="16384" width="9.140625" style="168"/>
  </cols>
  <sheetData>
    <row r="1" spans="2:25" s="103" customFormat="1" ht="15" customHeight="1" x14ac:dyDescent="0.25">
      <c r="B1" s="570"/>
      <c r="C1" s="570"/>
      <c r="D1" s="570"/>
      <c r="E1" s="570"/>
      <c r="F1" s="570"/>
      <c r="G1" s="570"/>
      <c r="H1" s="570"/>
      <c r="I1" s="570"/>
      <c r="J1" s="570"/>
      <c r="K1" s="570"/>
      <c r="L1" s="570"/>
      <c r="M1" s="570"/>
      <c r="O1" s="110"/>
      <c r="P1" s="110"/>
    </row>
    <row r="2" spans="2:25" s="16" customFormat="1" ht="22.5" customHeight="1" x14ac:dyDescent="0.35">
      <c r="B2" s="3" t="s">
        <v>0</v>
      </c>
      <c r="C2" s="17"/>
      <c r="D2" s="17"/>
      <c r="E2" s="17"/>
      <c r="F2" s="17"/>
      <c r="G2" s="17"/>
      <c r="H2" s="17"/>
      <c r="I2" s="17"/>
      <c r="J2" s="17"/>
      <c r="K2" s="17"/>
      <c r="L2" s="17"/>
      <c r="M2" s="17"/>
      <c r="O2" s="68"/>
      <c r="P2" s="68"/>
    </row>
    <row r="3" spans="2:25" s="5" customFormat="1" ht="15.95" customHeight="1" x14ac:dyDescent="0.25">
      <c r="B3" s="7" t="s">
        <v>544</v>
      </c>
      <c r="C3" s="6"/>
      <c r="D3" s="6"/>
      <c r="E3" s="6"/>
      <c r="F3" s="6"/>
      <c r="G3" s="6"/>
      <c r="H3" s="6"/>
      <c r="I3" s="6"/>
      <c r="J3" s="6"/>
      <c r="K3" s="6"/>
      <c r="L3" s="6"/>
      <c r="M3" s="6"/>
      <c r="N3" s="6"/>
      <c r="O3" s="6"/>
      <c r="P3" s="6"/>
      <c r="Q3" s="6"/>
      <c r="R3" s="6"/>
      <c r="S3" s="6"/>
      <c r="T3" s="6"/>
      <c r="U3" s="6"/>
      <c r="V3" s="6"/>
      <c r="W3" s="6"/>
      <c r="X3" s="6"/>
      <c r="Y3" s="6"/>
    </row>
    <row r="4" spans="2:25" s="104" customFormat="1" ht="9.75" customHeight="1" x14ac:dyDescent="0.25">
      <c r="B4" s="269"/>
      <c r="C4" s="269"/>
      <c r="D4" s="269"/>
      <c r="E4" s="269"/>
      <c r="F4" s="269"/>
      <c r="G4" s="269"/>
      <c r="H4" s="269"/>
      <c r="I4" s="269"/>
      <c r="J4" s="269"/>
      <c r="K4" s="269"/>
      <c r="L4" s="269"/>
      <c r="M4" s="269"/>
      <c r="O4" s="110"/>
      <c r="P4" s="110"/>
    </row>
    <row r="5" spans="2:25" s="103" customFormat="1" ht="18" customHeight="1" x14ac:dyDescent="0.25">
      <c r="B5" s="571" t="s">
        <v>545</v>
      </c>
      <c r="C5" s="572"/>
      <c r="D5" s="572"/>
      <c r="E5" s="572"/>
      <c r="F5" s="572"/>
      <c r="G5" s="572"/>
      <c r="H5" s="572"/>
      <c r="I5" s="572"/>
      <c r="J5" s="572"/>
      <c r="K5" s="572"/>
      <c r="L5" s="572"/>
      <c r="M5" s="573"/>
      <c r="O5" s="110"/>
      <c r="P5" s="110"/>
    </row>
    <row r="6" spans="2:25" s="103" customFormat="1" ht="18" customHeight="1" x14ac:dyDescent="0.25">
      <c r="B6" s="574"/>
      <c r="C6" s="575"/>
      <c r="D6" s="575"/>
      <c r="E6" s="575"/>
      <c r="F6" s="575"/>
      <c r="G6" s="575"/>
      <c r="H6" s="575"/>
      <c r="I6" s="575"/>
      <c r="J6" s="575"/>
      <c r="K6" s="575"/>
      <c r="L6" s="575"/>
      <c r="M6" s="576"/>
      <c r="O6" s="110"/>
      <c r="P6" s="110"/>
    </row>
    <row r="7" spans="2:25" s="103" customFormat="1" ht="9.75" customHeight="1" x14ac:dyDescent="0.25">
      <c r="B7" s="577"/>
      <c r="C7" s="577"/>
      <c r="D7" s="577"/>
      <c r="E7" s="577"/>
      <c r="F7" s="269"/>
      <c r="G7" s="269"/>
      <c r="H7" s="269"/>
      <c r="I7" s="269"/>
      <c r="J7" s="269"/>
      <c r="K7" s="269"/>
      <c r="L7" s="269"/>
      <c r="M7" s="269"/>
      <c r="O7" s="110"/>
      <c r="P7" s="110"/>
    </row>
    <row r="8" spans="2:25" s="103" customFormat="1" ht="36.75" customHeight="1" x14ac:dyDescent="0.25">
      <c r="B8" s="69" t="s">
        <v>528</v>
      </c>
      <c r="C8" s="70" t="s">
        <v>546</v>
      </c>
      <c r="D8" s="70" t="s">
        <v>547</v>
      </c>
      <c r="E8" s="70" t="s">
        <v>548</v>
      </c>
      <c r="F8" s="69" t="s">
        <v>290</v>
      </c>
      <c r="G8" s="71" t="s">
        <v>549</v>
      </c>
      <c r="H8" s="72" t="s">
        <v>550</v>
      </c>
      <c r="I8" s="72" t="s">
        <v>551</v>
      </c>
      <c r="J8" s="72" t="s">
        <v>552</v>
      </c>
      <c r="K8" s="73" t="s">
        <v>553</v>
      </c>
      <c r="L8" s="73" t="s">
        <v>554</v>
      </c>
      <c r="M8" s="73" t="s">
        <v>555</v>
      </c>
      <c r="O8" s="110"/>
      <c r="P8" s="110"/>
    </row>
    <row r="9" spans="2:25" x14ac:dyDescent="0.25">
      <c r="B9" s="286" t="str">
        <f t="shared" ref="B9:B28" si="0">IFERROR("LED"&amp;VLOOKUP(F9,LED_Codes,2,FALSE)&amp;I9&amp;VLOOKUP(F9,LED_Codes,3,FALSE)&amp;"-"&amp;K9,"Custom LED")</f>
        <v>Custom LED</v>
      </c>
      <c r="C9" s="270" t="s">
        <v>556</v>
      </c>
      <c r="D9" s="270" t="s">
        <v>557</v>
      </c>
      <c r="E9" s="286" t="str">
        <f t="shared" ref="E9:E28" si="1">IF(K9="Edit","LED XXW",CONCATENATE("LED ",K9,"W"))</f>
        <v>LED XXW</v>
      </c>
      <c r="F9" s="287" t="s">
        <v>558</v>
      </c>
      <c r="G9" s="271" t="s">
        <v>559</v>
      </c>
      <c r="H9" s="271" t="str">
        <f>IF(LEFT(F9,1)="4",48,IF(LEFT(F9,1)="2",24,""))</f>
        <v/>
      </c>
      <c r="I9" s="288" t="str">
        <f t="shared" ref="I9:I28" si="2">IF(OR(LEFT(F9,1)="R",LEFT(F9,1)="H"),1,"Edit")</f>
        <v>Edit</v>
      </c>
      <c r="J9" s="272" t="s">
        <v>560</v>
      </c>
      <c r="K9" s="288" t="s">
        <v>558</v>
      </c>
      <c r="L9" s="272" t="str">
        <f>B9</f>
        <v>Custom LED</v>
      </c>
      <c r="M9" s="273" t="s">
        <v>501</v>
      </c>
    </row>
    <row r="10" spans="2:25" x14ac:dyDescent="0.25">
      <c r="B10" s="286" t="str">
        <f t="shared" si="0"/>
        <v>Custom LED</v>
      </c>
      <c r="C10" s="270" t="s">
        <v>556</v>
      </c>
      <c r="D10" s="270" t="s">
        <v>557</v>
      </c>
      <c r="E10" s="286" t="str">
        <f t="shared" si="1"/>
        <v>LED XXW</v>
      </c>
      <c r="F10" s="287" t="s">
        <v>558</v>
      </c>
      <c r="G10" s="274" t="s">
        <v>559</v>
      </c>
      <c r="H10" s="271" t="str">
        <f t="shared" ref="H10:H28" si="3">IF(LEFT(F10,1)="4",48,IF(LEFT(F10,1)="2",24,""))</f>
        <v/>
      </c>
      <c r="I10" s="288" t="str">
        <f t="shared" si="2"/>
        <v>Edit</v>
      </c>
      <c r="J10" s="272" t="s">
        <v>560</v>
      </c>
      <c r="K10" s="288" t="s">
        <v>558</v>
      </c>
      <c r="L10" s="272" t="str">
        <f t="shared" ref="L10:L28" si="4">B10</f>
        <v>Custom LED</v>
      </c>
      <c r="M10" s="273" t="s">
        <v>501</v>
      </c>
    </row>
    <row r="11" spans="2:25" x14ac:dyDescent="0.25">
      <c r="B11" s="286" t="str">
        <f t="shared" si="0"/>
        <v>Custom LED</v>
      </c>
      <c r="C11" s="270" t="s">
        <v>556</v>
      </c>
      <c r="D11" s="270" t="s">
        <v>557</v>
      </c>
      <c r="E11" s="286" t="str">
        <f t="shared" si="1"/>
        <v>LED XXW</v>
      </c>
      <c r="F11" s="287" t="s">
        <v>558</v>
      </c>
      <c r="G11" s="274" t="s">
        <v>559</v>
      </c>
      <c r="H11" s="271" t="str">
        <f t="shared" si="3"/>
        <v/>
      </c>
      <c r="I11" s="288" t="str">
        <f t="shared" si="2"/>
        <v>Edit</v>
      </c>
      <c r="J11" s="272" t="s">
        <v>560</v>
      </c>
      <c r="K11" s="288" t="s">
        <v>558</v>
      </c>
      <c r="L11" s="272" t="str">
        <f t="shared" si="4"/>
        <v>Custom LED</v>
      </c>
      <c r="M11" s="273" t="s">
        <v>501</v>
      </c>
    </row>
    <row r="12" spans="2:25" x14ac:dyDescent="0.25">
      <c r="B12" s="286" t="str">
        <f t="shared" si="0"/>
        <v>Custom LED</v>
      </c>
      <c r="C12" s="270" t="s">
        <v>556</v>
      </c>
      <c r="D12" s="270" t="s">
        <v>557</v>
      </c>
      <c r="E12" s="286" t="str">
        <f t="shared" si="1"/>
        <v>LED XXW</v>
      </c>
      <c r="F12" s="287" t="s">
        <v>558</v>
      </c>
      <c r="G12" s="274" t="s">
        <v>559</v>
      </c>
      <c r="H12" s="271" t="str">
        <f t="shared" si="3"/>
        <v/>
      </c>
      <c r="I12" s="288" t="str">
        <f t="shared" si="2"/>
        <v>Edit</v>
      </c>
      <c r="J12" s="272" t="s">
        <v>560</v>
      </c>
      <c r="K12" s="288" t="s">
        <v>558</v>
      </c>
      <c r="L12" s="272" t="str">
        <f t="shared" si="4"/>
        <v>Custom LED</v>
      </c>
      <c r="M12" s="273" t="s">
        <v>501</v>
      </c>
    </row>
    <row r="13" spans="2:25" x14ac:dyDescent="0.25">
      <c r="B13" s="286" t="str">
        <f t="shared" si="0"/>
        <v>Custom LED</v>
      </c>
      <c r="C13" s="270" t="s">
        <v>556</v>
      </c>
      <c r="D13" s="270" t="s">
        <v>557</v>
      </c>
      <c r="E13" s="286" t="str">
        <f t="shared" si="1"/>
        <v>LED XXW</v>
      </c>
      <c r="F13" s="287" t="s">
        <v>558</v>
      </c>
      <c r="G13" s="274" t="s">
        <v>559</v>
      </c>
      <c r="H13" s="271" t="str">
        <f t="shared" si="3"/>
        <v/>
      </c>
      <c r="I13" s="288" t="str">
        <f t="shared" si="2"/>
        <v>Edit</v>
      </c>
      <c r="J13" s="272" t="s">
        <v>560</v>
      </c>
      <c r="K13" s="288" t="s">
        <v>558</v>
      </c>
      <c r="L13" s="272" t="str">
        <f t="shared" si="4"/>
        <v>Custom LED</v>
      </c>
      <c r="M13" s="273" t="s">
        <v>501</v>
      </c>
    </row>
    <row r="14" spans="2:25" x14ac:dyDescent="0.25">
      <c r="B14" s="286" t="str">
        <f t="shared" si="0"/>
        <v>Custom LED</v>
      </c>
      <c r="C14" s="270" t="s">
        <v>556</v>
      </c>
      <c r="D14" s="270" t="s">
        <v>557</v>
      </c>
      <c r="E14" s="286" t="str">
        <f t="shared" si="1"/>
        <v>LED XXW</v>
      </c>
      <c r="F14" s="287" t="s">
        <v>558</v>
      </c>
      <c r="G14" s="274" t="s">
        <v>559</v>
      </c>
      <c r="H14" s="271" t="str">
        <f t="shared" si="3"/>
        <v/>
      </c>
      <c r="I14" s="288" t="str">
        <f t="shared" si="2"/>
        <v>Edit</v>
      </c>
      <c r="J14" s="272" t="s">
        <v>560</v>
      </c>
      <c r="K14" s="288" t="s">
        <v>558</v>
      </c>
      <c r="L14" s="272" t="str">
        <f t="shared" si="4"/>
        <v>Custom LED</v>
      </c>
      <c r="M14" s="273" t="s">
        <v>501</v>
      </c>
    </row>
    <row r="15" spans="2:25" x14ac:dyDescent="0.25">
      <c r="B15" s="286" t="str">
        <f t="shared" si="0"/>
        <v>Custom LED</v>
      </c>
      <c r="C15" s="270" t="s">
        <v>556</v>
      </c>
      <c r="D15" s="270" t="s">
        <v>557</v>
      </c>
      <c r="E15" s="286" t="str">
        <f t="shared" si="1"/>
        <v>LED XXW</v>
      </c>
      <c r="F15" s="287" t="s">
        <v>558</v>
      </c>
      <c r="G15" s="274" t="s">
        <v>559</v>
      </c>
      <c r="H15" s="271" t="str">
        <f t="shared" si="3"/>
        <v/>
      </c>
      <c r="I15" s="288" t="str">
        <f t="shared" si="2"/>
        <v>Edit</v>
      </c>
      <c r="J15" s="272" t="s">
        <v>560</v>
      </c>
      <c r="K15" s="288" t="s">
        <v>558</v>
      </c>
      <c r="L15" s="272" t="str">
        <f t="shared" si="4"/>
        <v>Custom LED</v>
      </c>
      <c r="M15" s="273" t="s">
        <v>501</v>
      </c>
    </row>
    <row r="16" spans="2:25" x14ac:dyDescent="0.25">
      <c r="B16" s="286" t="str">
        <f t="shared" si="0"/>
        <v>Custom LED</v>
      </c>
      <c r="C16" s="270" t="s">
        <v>556</v>
      </c>
      <c r="D16" s="270" t="s">
        <v>557</v>
      </c>
      <c r="E16" s="286" t="str">
        <f t="shared" si="1"/>
        <v>LED XXW</v>
      </c>
      <c r="F16" s="287" t="s">
        <v>558</v>
      </c>
      <c r="G16" s="274" t="s">
        <v>559</v>
      </c>
      <c r="H16" s="271" t="str">
        <f t="shared" si="3"/>
        <v/>
      </c>
      <c r="I16" s="288" t="str">
        <f t="shared" si="2"/>
        <v>Edit</v>
      </c>
      <c r="J16" s="272" t="s">
        <v>560</v>
      </c>
      <c r="K16" s="288" t="s">
        <v>558</v>
      </c>
      <c r="L16" s="272" t="str">
        <f t="shared" si="4"/>
        <v>Custom LED</v>
      </c>
      <c r="M16" s="273" t="s">
        <v>501</v>
      </c>
    </row>
    <row r="17" spans="2:13" x14ac:dyDescent="0.25">
      <c r="B17" s="286" t="str">
        <f t="shared" si="0"/>
        <v>Custom LED</v>
      </c>
      <c r="C17" s="270" t="s">
        <v>556</v>
      </c>
      <c r="D17" s="270" t="s">
        <v>557</v>
      </c>
      <c r="E17" s="286" t="str">
        <f t="shared" si="1"/>
        <v>LED XXW</v>
      </c>
      <c r="F17" s="287" t="s">
        <v>558</v>
      </c>
      <c r="G17" s="274" t="s">
        <v>559</v>
      </c>
      <c r="H17" s="271" t="str">
        <f t="shared" si="3"/>
        <v/>
      </c>
      <c r="I17" s="288" t="str">
        <f t="shared" si="2"/>
        <v>Edit</v>
      </c>
      <c r="J17" s="272" t="s">
        <v>560</v>
      </c>
      <c r="K17" s="288" t="s">
        <v>558</v>
      </c>
      <c r="L17" s="272" t="str">
        <f t="shared" si="4"/>
        <v>Custom LED</v>
      </c>
      <c r="M17" s="273" t="s">
        <v>501</v>
      </c>
    </row>
    <row r="18" spans="2:13" x14ac:dyDescent="0.25">
      <c r="B18" s="286" t="str">
        <f t="shared" si="0"/>
        <v>Custom LED</v>
      </c>
      <c r="C18" s="270" t="s">
        <v>556</v>
      </c>
      <c r="D18" s="270" t="s">
        <v>557</v>
      </c>
      <c r="E18" s="286" t="str">
        <f t="shared" si="1"/>
        <v>LED XXW</v>
      </c>
      <c r="F18" s="287" t="s">
        <v>558</v>
      </c>
      <c r="G18" s="274" t="s">
        <v>559</v>
      </c>
      <c r="H18" s="271" t="str">
        <f t="shared" si="3"/>
        <v/>
      </c>
      <c r="I18" s="288" t="str">
        <f t="shared" si="2"/>
        <v>Edit</v>
      </c>
      <c r="J18" s="272" t="s">
        <v>560</v>
      </c>
      <c r="K18" s="288" t="s">
        <v>558</v>
      </c>
      <c r="L18" s="272" t="str">
        <f t="shared" si="4"/>
        <v>Custom LED</v>
      </c>
      <c r="M18" s="273" t="s">
        <v>501</v>
      </c>
    </row>
    <row r="19" spans="2:13" x14ac:dyDescent="0.25">
      <c r="B19" s="286" t="str">
        <f t="shared" si="0"/>
        <v>Custom LED</v>
      </c>
      <c r="C19" s="270" t="s">
        <v>556</v>
      </c>
      <c r="D19" s="270" t="s">
        <v>557</v>
      </c>
      <c r="E19" s="286" t="str">
        <f t="shared" si="1"/>
        <v>LED XXW</v>
      </c>
      <c r="F19" s="287" t="s">
        <v>558</v>
      </c>
      <c r="G19" s="274" t="s">
        <v>559</v>
      </c>
      <c r="H19" s="271" t="str">
        <f t="shared" si="3"/>
        <v/>
      </c>
      <c r="I19" s="288" t="str">
        <f t="shared" si="2"/>
        <v>Edit</v>
      </c>
      <c r="J19" s="272" t="s">
        <v>560</v>
      </c>
      <c r="K19" s="288" t="s">
        <v>558</v>
      </c>
      <c r="L19" s="272" t="str">
        <f t="shared" si="4"/>
        <v>Custom LED</v>
      </c>
      <c r="M19" s="273" t="s">
        <v>501</v>
      </c>
    </row>
    <row r="20" spans="2:13" x14ac:dyDescent="0.25">
      <c r="B20" s="286" t="str">
        <f t="shared" ref="B20:B24" si="5">IFERROR("LED"&amp;VLOOKUP(F20,LED_Codes,2,FALSE)&amp;I20&amp;VLOOKUP(F20,LED_Codes,3,FALSE)&amp;"-"&amp;K20,"Custom LED")</f>
        <v>Custom LED</v>
      </c>
      <c r="C20" s="270" t="s">
        <v>556</v>
      </c>
      <c r="D20" s="270" t="s">
        <v>557</v>
      </c>
      <c r="E20" s="286" t="str">
        <f t="shared" ref="E20:E24" si="6">IF(K20="Edit","LED XXW",CONCATENATE("LED ",K20,"W"))</f>
        <v>LED XXW</v>
      </c>
      <c r="F20" s="287" t="s">
        <v>558</v>
      </c>
      <c r="G20" s="274" t="s">
        <v>559</v>
      </c>
      <c r="H20" s="271" t="str">
        <f t="shared" ref="H20:H24" si="7">IF(LEFT(F20,1)="4",48,IF(LEFT(F20,1)="2",24,""))</f>
        <v/>
      </c>
      <c r="I20" s="288" t="str">
        <f t="shared" ref="I20:I24" si="8">IF(OR(LEFT(F20,1)="R",LEFT(F20,1)="H"),1,"Edit")</f>
        <v>Edit</v>
      </c>
      <c r="J20" s="272" t="s">
        <v>560</v>
      </c>
      <c r="K20" s="288" t="s">
        <v>558</v>
      </c>
      <c r="L20" s="272" t="str">
        <f t="shared" ref="L20:L24" si="9">B20</f>
        <v>Custom LED</v>
      </c>
      <c r="M20" s="273" t="s">
        <v>501</v>
      </c>
    </row>
    <row r="21" spans="2:13" x14ac:dyDescent="0.25">
      <c r="B21" s="286" t="str">
        <f t="shared" si="5"/>
        <v>Custom LED</v>
      </c>
      <c r="C21" s="270" t="s">
        <v>556</v>
      </c>
      <c r="D21" s="270" t="s">
        <v>557</v>
      </c>
      <c r="E21" s="286" t="str">
        <f t="shared" si="6"/>
        <v>LED XXW</v>
      </c>
      <c r="F21" s="287" t="s">
        <v>558</v>
      </c>
      <c r="G21" s="274" t="s">
        <v>559</v>
      </c>
      <c r="H21" s="271" t="str">
        <f t="shared" si="7"/>
        <v/>
      </c>
      <c r="I21" s="288" t="str">
        <f t="shared" si="8"/>
        <v>Edit</v>
      </c>
      <c r="J21" s="272" t="s">
        <v>560</v>
      </c>
      <c r="K21" s="288" t="s">
        <v>558</v>
      </c>
      <c r="L21" s="272" t="str">
        <f t="shared" si="9"/>
        <v>Custom LED</v>
      </c>
      <c r="M21" s="273" t="s">
        <v>501</v>
      </c>
    </row>
    <row r="22" spans="2:13" x14ac:dyDescent="0.25">
      <c r="B22" s="286" t="str">
        <f t="shared" si="5"/>
        <v>Custom LED</v>
      </c>
      <c r="C22" s="270" t="s">
        <v>556</v>
      </c>
      <c r="D22" s="270" t="s">
        <v>557</v>
      </c>
      <c r="E22" s="286" t="str">
        <f t="shared" si="6"/>
        <v>LED XXW</v>
      </c>
      <c r="F22" s="287" t="s">
        <v>558</v>
      </c>
      <c r="G22" s="274" t="s">
        <v>559</v>
      </c>
      <c r="H22" s="271" t="str">
        <f t="shared" si="7"/>
        <v/>
      </c>
      <c r="I22" s="288" t="str">
        <f t="shared" si="8"/>
        <v>Edit</v>
      </c>
      <c r="J22" s="272" t="s">
        <v>560</v>
      </c>
      <c r="K22" s="288" t="s">
        <v>558</v>
      </c>
      <c r="L22" s="272" t="str">
        <f t="shared" si="9"/>
        <v>Custom LED</v>
      </c>
      <c r="M22" s="273" t="s">
        <v>501</v>
      </c>
    </row>
    <row r="23" spans="2:13" x14ac:dyDescent="0.25">
      <c r="B23" s="286" t="str">
        <f t="shared" si="5"/>
        <v>Custom LED</v>
      </c>
      <c r="C23" s="270" t="s">
        <v>556</v>
      </c>
      <c r="D23" s="270" t="s">
        <v>557</v>
      </c>
      <c r="E23" s="286" t="str">
        <f t="shared" si="6"/>
        <v>LED XXW</v>
      </c>
      <c r="F23" s="287" t="s">
        <v>558</v>
      </c>
      <c r="G23" s="274" t="s">
        <v>559</v>
      </c>
      <c r="H23" s="271" t="str">
        <f t="shared" si="7"/>
        <v/>
      </c>
      <c r="I23" s="288" t="str">
        <f t="shared" si="8"/>
        <v>Edit</v>
      </c>
      <c r="J23" s="272" t="s">
        <v>560</v>
      </c>
      <c r="K23" s="288" t="s">
        <v>558</v>
      </c>
      <c r="L23" s="272" t="str">
        <f t="shared" si="9"/>
        <v>Custom LED</v>
      </c>
      <c r="M23" s="273" t="s">
        <v>501</v>
      </c>
    </row>
    <row r="24" spans="2:13" x14ac:dyDescent="0.25">
      <c r="B24" s="286" t="str">
        <f t="shared" si="5"/>
        <v>Custom LED</v>
      </c>
      <c r="C24" s="270" t="s">
        <v>556</v>
      </c>
      <c r="D24" s="270" t="s">
        <v>557</v>
      </c>
      <c r="E24" s="286" t="str">
        <f t="shared" si="6"/>
        <v>LED XXW</v>
      </c>
      <c r="F24" s="287" t="s">
        <v>558</v>
      </c>
      <c r="G24" s="274" t="s">
        <v>559</v>
      </c>
      <c r="H24" s="271" t="str">
        <f t="shared" si="7"/>
        <v/>
      </c>
      <c r="I24" s="288" t="str">
        <f t="shared" si="8"/>
        <v>Edit</v>
      </c>
      <c r="J24" s="272" t="s">
        <v>560</v>
      </c>
      <c r="K24" s="288" t="s">
        <v>558</v>
      </c>
      <c r="L24" s="272" t="str">
        <f t="shared" si="9"/>
        <v>Custom LED</v>
      </c>
      <c r="M24" s="273" t="s">
        <v>501</v>
      </c>
    </row>
    <row r="25" spans="2:13" x14ac:dyDescent="0.25">
      <c r="B25" s="286" t="str">
        <f t="shared" si="0"/>
        <v>Custom LED</v>
      </c>
      <c r="C25" s="270" t="s">
        <v>556</v>
      </c>
      <c r="D25" s="270" t="s">
        <v>557</v>
      </c>
      <c r="E25" s="286" t="str">
        <f t="shared" si="1"/>
        <v>LED XXW</v>
      </c>
      <c r="F25" s="287" t="s">
        <v>558</v>
      </c>
      <c r="G25" s="274" t="s">
        <v>559</v>
      </c>
      <c r="H25" s="271" t="str">
        <f t="shared" si="3"/>
        <v/>
      </c>
      <c r="I25" s="288" t="str">
        <f t="shared" si="2"/>
        <v>Edit</v>
      </c>
      <c r="J25" s="272" t="s">
        <v>560</v>
      </c>
      <c r="K25" s="288" t="s">
        <v>558</v>
      </c>
      <c r="L25" s="272" t="str">
        <f t="shared" si="4"/>
        <v>Custom LED</v>
      </c>
      <c r="M25" s="273" t="s">
        <v>501</v>
      </c>
    </row>
    <row r="26" spans="2:13" x14ac:dyDescent="0.25">
      <c r="B26" s="286" t="str">
        <f t="shared" si="0"/>
        <v>Custom LED</v>
      </c>
      <c r="C26" s="270" t="s">
        <v>556</v>
      </c>
      <c r="D26" s="270" t="s">
        <v>557</v>
      </c>
      <c r="E26" s="286" t="str">
        <f t="shared" si="1"/>
        <v>LED XXW</v>
      </c>
      <c r="F26" s="287" t="s">
        <v>558</v>
      </c>
      <c r="G26" s="274" t="s">
        <v>559</v>
      </c>
      <c r="H26" s="271" t="str">
        <f t="shared" si="3"/>
        <v/>
      </c>
      <c r="I26" s="288" t="str">
        <f t="shared" si="2"/>
        <v>Edit</v>
      </c>
      <c r="J26" s="272" t="s">
        <v>560</v>
      </c>
      <c r="K26" s="288" t="s">
        <v>558</v>
      </c>
      <c r="L26" s="272" t="str">
        <f t="shared" si="4"/>
        <v>Custom LED</v>
      </c>
      <c r="M26" s="273" t="s">
        <v>501</v>
      </c>
    </row>
    <row r="27" spans="2:13" x14ac:dyDescent="0.25">
      <c r="B27" s="286" t="str">
        <f t="shared" si="0"/>
        <v>Custom LED</v>
      </c>
      <c r="C27" s="270" t="s">
        <v>556</v>
      </c>
      <c r="D27" s="270" t="s">
        <v>557</v>
      </c>
      <c r="E27" s="286" t="str">
        <f t="shared" si="1"/>
        <v>LED XXW</v>
      </c>
      <c r="F27" s="287" t="s">
        <v>558</v>
      </c>
      <c r="G27" s="274" t="s">
        <v>559</v>
      </c>
      <c r="H27" s="271" t="str">
        <f t="shared" si="3"/>
        <v/>
      </c>
      <c r="I27" s="288" t="str">
        <f t="shared" si="2"/>
        <v>Edit</v>
      </c>
      <c r="J27" s="272" t="s">
        <v>560</v>
      </c>
      <c r="K27" s="288" t="s">
        <v>558</v>
      </c>
      <c r="L27" s="272" t="str">
        <f t="shared" si="4"/>
        <v>Custom LED</v>
      </c>
      <c r="M27" s="273" t="s">
        <v>501</v>
      </c>
    </row>
    <row r="28" spans="2:13" x14ac:dyDescent="0.25">
      <c r="B28" s="286" t="str">
        <f t="shared" si="0"/>
        <v>Custom LED</v>
      </c>
      <c r="C28" s="270" t="s">
        <v>556</v>
      </c>
      <c r="D28" s="270" t="s">
        <v>557</v>
      </c>
      <c r="E28" s="286" t="str">
        <f t="shared" si="1"/>
        <v>LED XXW</v>
      </c>
      <c r="F28" s="287" t="s">
        <v>558</v>
      </c>
      <c r="G28" s="274" t="s">
        <v>559</v>
      </c>
      <c r="H28" s="271" t="str">
        <f t="shared" si="3"/>
        <v/>
      </c>
      <c r="I28" s="288" t="str">
        <f t="shared" si="2"/>
        <v>Edit</v>
      </c>
      <c r="J28" s="272" t="s">
        <v>560</v>
      </c>
      <c r="K28" s="288" t="s">
        <v>558</v>
      </c>
      <c r="L28" s="272" t="str">
        <f t="shared" si="4"/>
        <v>Custom LED</v>
      </c>
      <c r="M28" s="273" t="s">
        <v>501</v>
      </c>
    </row>
    <row r="29" spans="2:13" x14ac:dyDescent="0.25">
      <c r="B29" s="270" t="s">
        <v>561</v>
      </c>
      <c r="C29" s="270" t="s">
        <v>556</v>
      </c>
      <c r="D29" s="270" t="s">
        <v>562</v>
      </c>
      <c r="E29" s="270" t="s">
        <v>563</v>
      </c>
      <c r="F29" s="275" t="s">
        <v>564</v>
      </c>
      <c r="G29" s="274" t="s">
        <v>559</v>
      </c>
      <c r="H29" s="274"/>
      <c r="I29" s="272">
        <v>1</v>
      </c>
      <c r="J29" s="272">
        <v>2</v>
      </c>
      <c r="K29" s="272">
        <v>2</v>
      </c>
      <c r="L29" s="272" t="s">
        <v>561</v>
      </c>
      <c r="M29" s="273" t="s">
        <v>500</v>
      </c>
    </row>
    <row r="30" spans="2:13" x14ac:dyDescent="0.25">
      <c r="B30" s="276" t="s">
        <v>565</v>
      </c>
      <c r="C30" s="270" t="s">
        <v>556</v>
      </c>
      <c r="D30" s="270" t="s">
        <v>562</v>
      </c>
      <c r="E30" s="270" t="s">
        <v>566</v>
      </c>
      <c r="F30" s="275" t="s">
        <v>567</v>
      </c>
      <c r="G30" s="274" t="s">
        <v>559</v>
      </c>
      <c r="H30" s="274"/>
      <c r="I30" s="272">
        <v>1</v>
      </c>
      <c r="J30" s="272">
        <v>3</v>
      </c>
      <c r="K30" s="272">
        <v>3</v>
      </c>
      <c r="L30" s="272" t="s">
        <v>565</v>
      </c>
      <c r="M30" s="273" t="s">
        <v>500</v>
      </c>
    </row>
    <row r="31" spans="2:13" x14ac:dyDescent="0.25">
      <c r="B31" s="276" t="s">
        <v>568</v>
      </c>
      <c r="C31" s="270" t="s">
        <v>556</v>
      </c>
      <c r="D31" s="270" t="s">
        <v>562</v>
      </c>
      <c r="E31" s="270" t="s">
        <v>569</v>
      </c>
      <c r="F31" s="275" t="s">
        <v>570</v>
      </c>
      <c r="G31" s="274" t="s">
        <v>559</v>
      </c>
      <c r="H31" s="274"/>
      <c r="I31" s="272">
        <v>1</v>
      </c>
      <c r="J31" s="272">
        <v>4</v>
      </c>
      <c r="K31" s="272">
        <v>4</v>
      </c>
      <c r="L31" s="272" t="s">
        <v>568</v>
      </c>
      <c r="M31" s="273" t="s">
        <v>500</v>
      </c>
    </row>
    <row r="32" spans="2:13" x14ac:dyDescent="0.25">
      <c r="B32" s="276" t="s">
        <v>571</v>
      </c>
      <c r="C32" s="270" t="s">
        <v>556</v>
      </c>
      <c r="D32" s="270" t="s">
        <v>562</v>
      </c>
      <c r="E32" s="270" t="s">
        <v>572</v>
      </c>
      <c r="F32" s="275" t="s">
        <v>573</v>
      </c>
      <c r="G32" s="274" t="s">
        <v>559</v>
      </c>
      <c r="H32" s="274"/>
      <c r="I32" s="272">
        <v>1</v>
      </c>
      <c r="J32" s="272">
        <v>5</v>
      </c>
      <c r="K32" s="272">
        <v>5</v>
      </c>
      <c r="L32" s="272" t="s">
        <v>571</v>
      </c>
      <c r="M32" s="273" t="s">
        <v>500</v>
      </c>
    </row>
    <row r="33" spans="2:13" x14ac:dyDescent="0.25">
      <c r="B33" s="276" t="s">
        <v>574</v>
      </c>
      <c r="C33" s="270" t="s">
        <v>556</v>
      </c>
      <c r="D33" s="270" t="s">
        <v>562</v>
      </c>
      <c r="E33" s="270" t="s">
        <v>575</v>
      </c>
      <c r="F33" s="275" t="s">
        <v>576</v>
      </c>
      <c r="G33" s="274" t="s">
        <v>559</v>
      </c>
      <c r="H33" s="274"/>
      <c r="I33" s="272">
        <v>1</v>
      </c>
      <c r="J33" s="272">
        <v>6</v>
      </c>
      <c r="K33" s="272">
        <v>6</v>
      </c>
      <c r="L33" s="272" t="s">
        <v>574</v>
      </c>
      <c r="M33" s="273" t="s">
        <v>500</v>
      </c>
    </row>
    <row r="34" spans="2:13" x14ac:dyDescent="0.25">
      <c r="B34" s="276" t="s">
        <v>577</v>
      </c>
      <c r="C34" s="270" t="s">
        <v>556</v>
      </c>
      <c r="D34" s="270" t="s">
        <v>562</v>
      </c>
      <c r="E34" s="270" t="s">
        <v>578</v>
      </c>
      <c r="F34" s="275" t="s">
        <v>579</v>
      </c>
      <c r="G34" s="274" t="s">
        <v>559</v>
      </c>
      <c r="H34" s="274"/>
      <c r="I34" s="272">
        <v>1</v>
      </c>
      <c r="J34" s="272">
        <v>7</v>
      </c>
      <c r="K34" s="272">
        <v>7</v>
      </c>
      <c r="L34" s="272" t="s">
        <v>577</v>
      </c>
      <c r="M34" s="273" t="s">
        <v>500</v>
      </c>
    </row>
    <row r="35" spans="2:13" x14ac:dyDescent="0.25">
      <c r="B35" s="276" t="s">
        <v>580</v>
      </c>
      <c r="C35" s="270" t="s">
        <v>556</v>
      </c>
      <c r="D35" s="270" t="s">
        <v>562</v>
      </c>
      <c r="E35" s="270" t="s">
        <v>581</v>
      </c>
      <c r="F35" s="275" t="s">
        <v>582</v>
      </c>
      <c r="G35" s="274" t="s">
        <v>559</v>
      </c>
      <c r="H35" s="274"/>
      <c r="I35" s="272">
        <v>1</v>
      </c>
      <c r="J35" s="272">
        <v>8</v>
      </c>
      <c r="K35" s="272">
        <v>8</v>
      </c>
      <c r="L35" s="272" t="s">
        <v>580</v>
      </c>
      <c r="M35" s="273" t="s">
        <v>500</v>
      </c>
    </row>
    <row r="36" spans="2:13" x14ac:dyDescent="0.25">
      <c r="B36" s="276" t="s">
        <v>583</v>
      </c>
      <c r="C36" s="270" t="s">
        <v>556</v>
      </c>
      <c r="D36" s="270" t="s">
        <v>562</v>
      </c>
      <c r="E36" s="270" t="s">
        <v>584</v>
      </c>
      <c r="F36" s="275" t="s">
        <v>585</v>
      </c>
      <c r="G36" s="274" t="s">
        <v>559</v>
      </c>
      <c r="H36" s="274"/>
      <c r="I36" s="272">
        <v>1</v>
      </c>
      <c r="J36" s="272">
        <v>9</v>
      </c>
      <c r="K36" s="272">
        <v>9</v>
      </c>
      <c r="L36" s="272" t="s">
        <v>583</v>
      </c>
      <c r="M36" s="273" t="s">
        <v>500</v>
      </c>
    </row>
    <row r="37" spans="2:13" x14ac:dyDescent="0.25">
      <c r="B37" s="276" t="s">
        <v>586</v>
      </c>
      <c r="C37" s="270" t="s">
        <v>556</v>
      </c>
      <c r="D37" s="270" t="s">
        <v>562</v>
      </c>
      <c r="E37" s="276" t="s">
        <v>587</v>
      </c>
      <c r="F37" s="275" t="s">
        <v>588</v>
      </c>
      <c r="G37" s="274" t="s">
        <v>559</v>
      </c>
      <c r="H37" s="274"/>
      <c r="I37" s="272">
        <v>1</v>
      </c>
      <c r="J37" s="272">
        <v>10</v>
      </c>
      <c r="K37" s="272">
        <v>10</v>
      </c>
      <c r="L37" s="272" t="s">
        <v>586</v>
      </c>
      <c r="M37" s="273" t="s">
        <v>500</v>
      </c>
    </row>
    <row r="38" spans="2:13" x14ac:dyDescent="0.25">
      <c r="B38" s="276" t="s">
        <v>589</v>
      </c>
      <c r="C38" s="270" t="s">
        <v>556</v>
      </c>
      <c r="D38" s="270" t="s">
        <v>562</v>
      </c>
      <c r="E38" s="276" t="s">
        <v>590</v>
      </c>
      <c r="F38" s="275" t="s">
        <v>591</v>
      </c>
      <c r="G38" s="274" t="s">
        <v>559</v>
      </c>
      <c r="H38" s="274"/>
      <c r="I38" s="272">
        <v>1</v>
      </c>
      <c r="J38" s="272">
        <v>11</v>
      </c>
      <c r="K38" s="272">
        <v>11</v>
      </c>
      <c r="L38" s="272" t="s">
        <v>589</v>
      </c>
      <c r="M38" s="273" t="s">
        <v>500</v>
      </c>
    </row>
    <row r="39" spans="2:13" x14ac:dyDescent="0.25">
      <c r="B39" s="276" t="s">
        <v>592</v>
      </c>
      <c r="C39" s="270" t="s">
        <v>556</v>
      </c>
      <c r="D39" s="270" t="s">
        <v>562</v>
      </c>
      <c r="E39" s="276" t="s">
        <v>593</v>
      </c>
      <c r="F39" s="275" t="s">
        <v>594</v>
      </c>
      <c r="G39" s="274" t="s">
        <v>559</v>
      </c>
      <c r="H39" s="274"/>
      <c r="I39" s="272">
        <v>1</v>
      </c>
      <c r="J39" s="272">
        <v>12</v>
      </c>
      <c r="K39" s="272">
        <v>12</v>
      </c>
      <c r="L39" s="272" t="s">
        <v>592</v>
      </c>
      <c r="M39" s="273" t="s">
        <v>500</v>
      </c>
    </row>
    <row r="40" spans="2:13" x14ac:dyDescent="0.25">
      <c r="B40" s="276" t="s">
        <v>595</v>
      </c>
      <c r="C40" s="270" t="s">
        <v>556</v>
      </c>
      <c r="D40" s="270" t="s">
        <v>562</v>
      </c>
      <c r="E40" s="276" t="s">
        <v>596</v>
      </c>
      <c r="F40" s="275" t="s">
        <v>597</v>
      </c>
      <c r="G40" s="274" t="s">
        <v>559</v>
      </c>
      <c r="H40" s="274"/>
      <c r="I40" s="272">
        <v>1</v>
      </c>
      <c r="J40" s="272">
        <v>13</v>
      </c>
      <c r="K40" s="272">
        <v>13</v>
      </c>
      <c r="L40" s="272" t="s">
        <v>595</v>
      </c>
      <c r="M40" s="273" t="s">
        <v>500</v>
      </c>
    </row>
    <row r="41" spans="2:13" x14ac:dyDescent="0.25">
      <c r="B41" s="276" t="s">
        <v>598</v>
      </c>
      <c r="C41" s="270" t="s">
        <v>556</v>
      </c>
      <c r="D41" s="270" t="s">
        <v>562</v>
      </c>
      <c r="E41" s="276" t="s">
        <v>599</v>
      </c>
      <c r="F41" s="275" t="s">
        <v>600</v>
      </c>
      <c r="G41" s="274" t="s">
        <v>559</v>
      </c>
      <c r="H41" s="274"/>
      <c r="I41" s="272">
        <v>1</v>
      </c>
      <c r="J41" s="272">
        <v>14</v>
      </c>
      <c r="K41" s="272">
        <v>14</v>
      </c>
      <c r="L41" s="272" t="s">
        <v>598</v>
      </c>
      <c r="M41" s="273" t="s">
        <v>500</v>
      </c>
    </row>
    <row r="42" spans="2:13" x14ac:dyDescent="0.25">
      <c r="B42" s="276" t="s">
        <v>601</v>
      </c>
      <c r="C42" s="270" t="s">
        <v>556</v>
      </c>
      <c r="D42" s="270" t="s">
        <v>562</v>
      </c>
      <c r="E42" s="276" t="s">
        <v>602</v>
      </c>
      <c r="F42" s="275" t="s">
        <v>603</v>
      </c>
      <c r="G42" s="274" t="s">
        <v>559</v>
      </c>
      <c r="H42" s="274"/>
      <c r="I42" s="272">
        <v>1</v>
      </c>
      <c r="J42" s="272">
        <v>15</v>
      </c>
      <c r="K42" s="272">
        <v>15</v>
      </c>
      <c r="L42" s="272" t="s">
        <v>601</v>
      </c>
      <c r="M42" s="273" t="s">
        <v>500</v>
      </c>
    </row>
    <row r="43" spans="2:13" x14ac:dyDescent="0.25">
      <c r="B43" s="276" t="s">
        <v>604</v>
      </c>
      <c r="C43" s="270" t="s">
        <v>556</v>
      </c>
      <c r="D43" s="270" t="s">
        <v>562</v>
      </c>
      <c r="E43" s="276" t="s">
        <v>605</v>
      </c>
      <c r="F43" s="275" t="s">
        <v>606</v>
      </c>
      <c r="G43" s="274" t="s">
        <v>559</v>
      </c>
      <c r="H43" s="274"/>
      <c r="I43" s="272">
        <v>1</v>
      </c>
      <c r="J43" s="272">
        <v>16</v>
      </c>
      <c r="K43" s="272">
        <v>16</v>
      </c>
      <c r="L43" s="272" t="s">
        <v>604</v>
      </c>
      <c r="M43" s="273" t="s">
        <v>500</v>
      </c>
    </row>
    <row r="44" spans="2:13" x14ac:dyDescent="0.25">
      <c r="B44" s="276" t="s">
        <v>607</v>
      </c>
      <c r="C44" s="270" t="s">
        <v>556</v>
      </c>
      <c r="D44" s="270" t="s">
        <v>562</v>
      </c>
      <c r="E44" s="276" t="s">
        <v>608</v>
      </c>
      <c r="F44" s="275" t="s">
        <v>609</v>
      </c>
      <c r="G44" s="274" t="s">
        <v>559</v>
      </c>
      <c r="H44" s="274"/>
      <c r="I44" s="272">
        <v>1</v>
      </c>
      <c r="J44" s="272">
        <v>17</v>
      </c>
      <c r="K44" s="272">
        <v>17</v>
      </c>
      <c r="L44" s="272" t="s">
        <v>607</v>
      </c>
      <c r="M44" s="273" t="s">
        <v>500</v>
      </c>
    </row>
    <row r="45" spans="2:13" x14ac:dyDescent="0.25">
      <c r="B45" s="276" t="s">
        <v>610</v>
      </c>
      <c r="C45" s="270" t="s">
        <v>556</v>
      </c>
      <c r="D45" s="270" t="s">
        <v>562</v>
      </c>
      <c r="E45" s="276" t="s">
        <v>611</v>
      </c>
      <c r="F45" s="275" t="s">
        <v>612</v>
      </c>
      <c r="G45" s="274" t="s">
        <v>559</v>
      </c>
      <c r="H45" s="274"/>
      <c r="I45" s="272">
        <v>1</v>
      </c>
      <c r="J45" s="272">
        <v>18</v>
      </c>
      <c r="K45" s="272">
        <v>18</v>
      </c>
      <c r="L45" s="272" t="s">
        <v>610</v>
      </c>
      <c r="M45" s="273" t="s">
        <v>500</v>
      </c>
    </row>
    <row r="46" spans="2:13" x14ac:dyDescent="0.25">
      <c r="B46" s="276" t="s">
        <v>613</v>
      </c>
      <c r="C46" s="270" t="s">
        <v>556</v>
      </c>
      <c r="D46" s="270" t="s">
        <v>562</v>
      </c>
      <c r="E46" s="276" t="s">
        <v>614</v>
      </c>
      <c r="F46" s="275" t="s">
        <v>615</v>
      </c>
      <c r="G46" s="274" t="s">
        <v>559</v>
      </c>
      <c r="H46" s="274"/>
      <c r="I46" s="272">
        <v>1</v>
      </c>
      <c r="J46" s="272">
        <v>19</v>
      </c>
      <c r="K46" s="272">
        <v>19</v>
      </c>
      <c r="L46" s="272" t="s">
        <v>613</v>
      </c>
      <c r="M46" s="273" t="s">
        <v>500</v>
      </c>
    </row>
    <row r="47" spans="2:13" x14ac:dyDescent="0.25">
      <c r="B47" s="276" t="s">
        <v>616</v>
      </c>
      <c r="C47" s="270" t="s">
        <v>556</v>
      </c>
      <c r="D47" s="270" t="s">
        <v>562</v>
      </c>
      <c r="E47" s="276" t="s">
        <v>617</v>
      </c>
      <c r="F47" s="275" t="s">
        <v>618</v>
      </c>
      <c r="G47" s="274" t="s">
        <v>559</v>
      </c>
      <c r="H47" s="274"/>
      <c r="I47" s="272">
        <v>1</v>
      </c>
      <c r="J47" s="272">
        <v>20</v>
      </c>
      <c r="K47" s="272">
        <v>20</v>
      </c>
      <c r="L47" s="272" t="s">
        <v>616</v>
      </c>
      <c r="M47" s="273" t="s">
        <v>500</v>
      </c>
    </row>
    <row r="48" spans="2:13" x14ac:dyDescent="0.25">
      <c r="B48" s="276" t="s">
        <v>619</v>
      </c>
      <c r="C48" s="270" t="s">
        <v>556</v>
      </c>
      <c r="D48" s="270" t="s">
        <v>562</v>
      </c>
      <c r="E48" s="276" t="s">
        <v>620</v>
      </c>
      <c r="F48" s="275" t="s">
        <v>621</v>
      </c>
      <c r="G48" s="274" t="s">
        <v>559</v>
      </c>
      <c r="H48" s="274"/>
      <c r="I48" s="272">
        <v>1</v>
      </c>
      <c r="J48" s="272">
        <v>21</v>
      </c>
      <c r="K48" s="272">
        <v>21</v>
      </c>
      <c r="L48" s="272" t="s">
        <v>619</v>
      </c>
      <c r="M48" s="273" t="s">
        <v>500</v>
      </c>
    </row>
    <row r="49" spans="2:13" x14ac:dyDescent="0.25">
      <c r="B49" s="276" t="s">
        <v>622</v>
      </c>
      <c r="C49" s="270" t="s">
        <v>556</v>
      </c>
      <c r="D49" s="270" t="s">
        <v>562</v>
      </c>
      <c r="E49" s="276" t="s">
        <v>623</v>
      </c>
      <c r="F49" s="275" t="s">
        <v>624</v>
      </c>
      <c r="G49" s="274" t="s">
        <v>559</v>
      </c>
      <c r="H49" s="274"/>
      <c r="I49" s="272">
        <v>1</v>
      </c>
      <c r="J49" s="272">
        <v>22</v>
      </c>
      <c r="K49" s="272">
        <v>22</v>
      </c>
      <c r="L49" s="272" t="s">
        <v>622</v>
      </c>
      <c r="M49" s="273" t="s">
        <v>500</v>
      </c>
    </row>
    <row r="50" spans="2:13" x14ac:dyDescent="0.25">
      <c r="B50" s="276" t="s">
        <v>625</v>
      </c>
      <c r="C50" s="270" t="s">
        <v>556</v>
      </c>
      <c r="D50" s="270" t="s">
        <v>562</v>
      </c>
      <c r="E50" s="276" t="s">
        <v>626</v>
      </c>
      <c r="F50" s="275" t="s">
        <v>627</v>
      </c>
      <c r="G50" s="274" t="s">
        <v>559</v>
      </c>
      <c r="H50" s="274"/>
      <c r="I50" s="272">
        <v>1</v>
      </c>
      <c r="J50" s="272">
        <v>26</v>
      </c>
      <c r="K50" s="272">
        <v>26</v>
      </c>
      <c r="L50" s="272" t="s">
        <v>625</v>
      </c>
      <c r="M50" s="273" t="s">
        <v>500</v>
      </c>
    </row>
    <row r="51" spans="2:13" x14ac:dyDescent="0.25">
      <c r="B51" s="273" t="s">
        <v>628</v>
      </c>
      <c r="C51" s="273" t="s">
        <v>629</v>
      </c>
      <c r="D51" s="273" t="s">
        <v>630</v>
      </c>
      <c r="E51" s="273" t="s">
        <v>631</v>
      </c>
      <c r="F51" s="277" t="s">
        <v>632</v>
      </c>
      <c r="G51" s="278" t="s">
        <v>633</v>
      </c>
      <c r="H51" s="278"/>
      <c r="I51" s="273">
        <v>1</v>
      </c>
      <c r="J51" s="273">
        <v>10</v>
      </c>
      <c r="K51" s="273">
        <v>16</v>
      </c>
      <c r="L51" s="273" t="s">
        <v>628</v>
      </c>
      <c r="M51" s="273" t="s">
        <v>501</v>
      </c>
    </row>
    <row r="52" spans="2:13" x14ac:dyDescent="0.25">
      <c r="B52" s="273" t="s">
        <v>634</v>
      </c>
      <c r="C52" s="273" t="s">
        <v>629</v>
      </c>
      <c r="D52" s="273" t="s">
        <v>630</v>
      </c>
      <c r="E52" s="273" t="s">
        <v>631</v>
      </c>
      <c r="F52" s="277" t="s">
        <v>632</v>
      </c>
      <c r="G52" s="278" t="s">
        <v>559</v>
      </c>
      <c r="H52" s="278"/>
      <c r="I52" s="273">
        <v>1</v>
      </c>
      <c r="J52" s="273">
        <v>10</v>
      </c>
      <c r="K52" s="273">
        <v>12</v>
      </c>
      <c r="L52" s="273" t="s">
        <v>634</v>
      </c>
      <c r="M52" s="273" t="s">
        <v>501</v>
      </c>
    </row>
    <row r="53" spans="2:13" x14ac:dyDescent="0.25">
      <c r="B53" s="273" t="s">
        <v>635</v>
      </c>
      <c r="C53" s="273" t="s">
        <v>629</v>
      </c>
      <c r="D53" s="273" t="s">
        <v>630</v>
      </c>
      <c r="E53" s="273" t="s">
        <v>636</v>
      </c>
      <c r="F53" s="277" t="s">
        <v>637</v>
      </c>
      <c r="G53" s="278" t="s">
        <v>633</v>
      </c>
      <c r="H53" s="278"/>
      <c r="I53" s="273">
        <v>1</v>
      </c>
      <c r="J53" s="273">
        <v>11</v>
      </c>
      <c r="K53" s="273">
        <v>13</v>
      </c>
      <c r="L53" s="273" t="s">
        <v>635</v>
      </c>
      <c r="M53" s="273" t="s">
        <v>501</v>
      </c>
    </row>
    <row r="54" spans="2:13" x14ac:dyDescent="0.25">
      <c r="B54" s="273" t="s">
        <v>638</v>
      </c>
      <c r="C54" s="273" t="s">
        <v>629</v>
      </c>
      <c r="D54" s="273" t="s">
        <v>630</v>
      </c>
      <c r="E54" s="273" t="s">
        <v>639</v>
      </c>
      <c r="F54" s="277" t="s">
        <v>640</v>
      </c>
      <c r="G54" s="278" t="s">
        <v>633</v>
      </c>
      <c r="H54" s="278"/>
      <c r="I54" s="273">
        <v>1</v>
      </c>
      <c r="J54" s="273">
        <v>16</v>
      </c>
      <c r="K54" s="273">
        <v>26</v>
      </c>
      <c r="L54" s="273" t="s">
        <v>638</v>
      </c>
      <c r="M54" s="273" t="s">
        <v>501</v>
      </c>
    </row>
    <row r="55" spans="2:13" x14ac:dyDescent="0.25">
      <c r="B55" s="273" t="s">
        <v>641</v>
      </c>
      <c r="C55" s="273" t="s">
        <v>629</v>
      </c>
      <c r="D55" s="273" t="s">
        <v>630</v>
      </c>
      <c r="E55" s="273" t="s">
        <v>639</v>
      </c>
      <c r="F55" s="277" t="s">
        <v>640</v>
      </c>
      <c r="G55" s="278" t="s">
        <v>559</v>
      </c>
      <c r="H55" s="278"/>
      <c r="I55" s="273">
        <v>1</v>
      </c>
      <c r="J55" s="273">
        <v>16</v>
      </c>
      <c r="K55" s="273">
        <v>18</v>
      </c>
      <c r="L55" s="273" t="s">
        <v>641</v>
      </c>
      <c r="M55" s="273" t="s">
        <v>501</v>
      </c>
    </row>
    <row r="56" spans="2:13" x14ac:dyDescent="0.25">
      <c r="B56" s="273" t="s">
        <v>642</v>
      </c>
      <c r="C56" s="273" t="s">
        <v>629</v>
      </c>
      <c r="D56" s="273" t="s">
        <v>630</v>
      </c>
      <c r="E56" s="273" t="s">
        <v>643</v>
      </c>
      <c r="F56" s="277" t="s">
        <v>644</v>
      </c>
      <c r="G56" s="278" t="s">
        <v>633</v>
      </c>
      <c r="H56" s="278"/>
      <c r="I56" s="273">
        <v>1</v>
      </c>
      <c r="J56" s="273">
        <v>21</v>
      </c>
      <c r="K56" s="273">
        <v>26</v>
      </c>
      <c r="L56" s="273" t="s">
        <v>642</v>
      </c>
      <c r="M56" s="273" t="s">
        <v>501</v>
      </c>
    </row>
    <row r="57" spans="2:13" x14ac:dyDescent="0.25">
      <c r="B57" s="273" t="s">
        <v>645</v>
      </c>
      <c r="C57" s="273" t="s">
        <v>629</v>
      </c>
      <c r="D57" s="273" t="s">
        <v>630</v>
      </c>
      <c r="E57" s="273" t="s">
        <v>643</v>
      </c>
      <c r="F57" s="277" t="s">
        <v>644</v>
      </c>
      <c r="G57" s="278" t="s">
        <v>559</v>
      </c>
      <c r="H57" s="278"/>
      <c r="I57" s="273">
        <v>1</v>
      </c>
      <c r="J57" s="273">
        <v>21</v>
      </c>
      <c r="K57" s="273">
        <v>22</v>
      </c>
      <c r="L57" s="273" t="s">
        <v>645</v>
      </c>
      <c r="M57" s="273" t="s">
        <v>501</v>
      </c>
    </row>
    <row r="58" spans="2:13" x14ac:dyDescent="0.25">
      <c r="B58" s="273" t="s">
        <v>646</v>
      </c>
      <c r="C58" s="273" t="s">
        <v>629</v>
      </c>
      <c r="D58" s="273" t="s">
        <v>630</v>
      </c>
      <c r="E58" s="273" t="s">
        <v>647</v>
      </c>
      <c r="F58" s="277" t="s">
        <v>648</v>
      </c>
      <c r="G58" s="278" t="s">
        <v>633</v>
      </c>
      <c r="H58" s="278"/>
      <c r="I58" s="273">
        <v>1</v>
      </c>
      <c r="J58" s="273">
        <v>23</v>
      </c>
      <c r="K58" s="273">
        <v>29</v>
      </c>
      <c r="L58" s="273" t="s">
        <v>646</v>
      </c>
      <c r="M58" s="273" t="s">
        <v>501</v>
      </c>
    </row>
    <row r="59" spans="2:13" x14ac:dyDescent="0.25">
      <c r="B59" s="273" t="s">
        <v>649</v>
      </c>
      <c r="C59" s="273" t="s">
        <v>629</v>
      </c>
      <c r="D59" s="273" t="s">
        <v>630</v>
      </c>
      <c r="E59" s="273" t="s">
        <v>647</v>
      </c>
      <c r="F59" s="277" t="s">
        <v>648</v>
      </c>
      <c r="G59" s="278" t="s">
        <v>559</v>
      </c>
      <c r="H59" s="278"/>
      <c r="I59" s="273">
        <v>1</v>
      </c>
      <c r="J59" s="273">
        <v>23</v>
      </c>
      <c r="K59" s="273">
        <v>25</v>
      </c>
      <c r="L59" s="273" t="s">
        <v>649</v>
      </c>
      <c r="M59" s="273" t="s">
        <v>501</v>
      </c>
    </row>
    <row r="60" spans="2:13" x14ac:dyDescent="0.25">
      <c r="B60" s="273" t="s">
        <v>650</v>
      </c>
      <c r="C60" s="273" t="s">
        <v>629</v>
      </c>
      <c r="D60" s="273" t="s">
        <v>630</v>
      </c>
      <c r="E60" s="273" t="s">
        <v>651</v>
      </c>
      <c r="F60" s="277" t="s">
        <v>652</v>
      </c>
      <c r="G60" s="278" t="s">
        <v>633</v>
      </c>
      <c r="H60" s="278"/>
      <c r="I60" s="273">
        <v>1</v>
      </c>
      <c r="J60" s="273">
        <v>28</v>
      </c>
      <c r="K60" s="273">
        <v>35</v>
      </c>
      <c r="L60" s="273" t="s">
        <v>650</v>
      </c>
      <c r="M60" s="273" t="s">
        <v>501</v>
      </c>
    </row>
    <row r="61" spans="2:13" x14ac:dyDescent="0.25">
      <c r="B61" s="273" t="s">
        <v>653</v>
      </c>
      <c r="C61" s="273" t="s">
        <v>629</v>
      </c>
      <c r="D61" s="273" t="s">
        <v>630</v>
      </c>
      <c r="E61" s="273" t="s">
        <v>651</v>
      </c>
      <c r="F61" s="277" t="s">
        <v>652</v>
      </c>
      <c r="G61" s="278" t="s">
        <v>559</v>
      </c>
      <c r="H61" s="278"/>
      <c r="I61" s="273">
        <v>1</v>
      </c>
      <c r="J61" s="273">
        <v>28</v>
      </c>
      <c r="K61" s="273">
        <v>28</v>
      </c>
      <c r="L61" s="273" t="s">
        <v>653</v>
      </c>
      <c r="M61" s="273" t="s">
        <v>501</v>
      </c>
    </row>
    <row r="62" spans="2:13" x14ac:dyDescent="0.25">
      <c r="B62" s="273" t="s">
        <v>654</v>
      </c>
      <c r="C62" s="273" t="s">
        <v>629</v>
      </c>
      <c r="D62" s="273" t="s">
        <v>630</v>
      </c>
      <c r="E62" s="273" t="s">
        <v>655</v>
      </c>
      <c r="F62" s="277" t="s">
        <v>656</v>
      </c>
      <c r="G62" s="278" t="s">
        <v>633</v>
      </c>
      <c r="H62" s="278"/>
      <c r="I62" s="273">
        <v>1</v>
      </c>
      <c r="J62" s="273">
        <v>38</v>
      </c>
      <c r="K62" s="273">
        <v>46</v>
      </c>
      <c r="L62" s="273" t="s">
        <v>654</v>
      </c>
      <c r="M62" s="273" t="s">
        <v>501</v>
      </c>
    </row>
    <row r="63" spans="2:13" x14ac:dyDescent="0.25">
      <c r="B63" s="273" t="s">
        <v>657</v>
      </c>
      <c r="C63" s="273" t="s">
        <v>629</v>
      </c>
      <c r="D63" s="273" t="s">
        <v>630</v>
      </c>
      <c r="E63" s="273" t="s">
        <v>655</v>
      </c>
      <c r="F63" s="277" t="s">
        <v>656</v>
      </c>
      <c r="G63" s="278" t="s">
        <v>559</v>
      </c>
      <c r="H63" s="278"/>
      <c r="I63" s="273">
        <v>1</v>
      </c>
      <c r="J63" s="273">
        <v>38</v>
      </c>
      <c r="K63" s="273">
        <v>36</v>
      </c>
      <c r="L63" s="273" t="s">
        <v>657</v>
      </c>
      <c r="M63" s="273" t="s">
        <v>501</v>
      </c>
    </row>
    <row r="64" spans="2:13" x14ac:dyDescent="0.25">
      <c r="B64" s="273" t="s">
        <v>658</v>
      </c>
      <c r="C64" s="273" t="s">
        <v>629</v>
      </c>
      <c r="D64" s="273" t="s">
        <v>630</v>
      </c>
      <c r="E64" s="273" t="s">
        <v>659</v>
      </c>
      <c r="F64" s="277" t="s">
        <v>660</v>
      </c>
      <c r="G64" s="278" t="s">
        <v>559</v>
      </c>
      <c r="H64" s="278"/>
      <c r="I64" s="273">
        <v>1</v>
      </c>
      <c r="J64" s="273">
        <v>42</v>
      </c>
      <c r="K64" s="273">
        <v>48</v>
      </c>
      <c r="L64" s="273" t="s">
        <v>658</v>
      </c>
      <c r="M64" s="273" t="s">
        <v>501</v>
      </c>
    </row>
    <row r="65" spans="2:13" x14ac:dyDescent="0.25">
      <c r="B65" s="273" t="s">
        <v>661</v>
      </c>
      <c r="C65" s="273" t="s">
        <v>629</v>
      </c>
      <c r="D65" s="273" t="s">
        <v>630</v>
      </c>
      <c r="E65" s="273" t="s">
        <v>662</v>
      </c>
      <c r="F65" s="277" t="s">
        <v>663</v>
      </c>
      <c r="G65" s="278" t="s">
        <v>633</v>
      </c>
      <c r="H65" s="278"/>
      <c r="I65" s="273">
        <v>1</v>
      </c>
      <c r="J65" s="273">
        <v>10</v>
      </c>
      <c r="K65" s="273">
        <v>15</v>
      </c>
      <c r="L65" s="273" t="s">
        <v>661</v>
      </c>
      <c r="M65" s="273" t="s">
        <v>501</v>
      </c>
    </row>
    <row r="66" spans="2:13" x14ac:dyDescent="0.25">
      <c r="B66" s="273" t="s">
        <v>664</v>
      </c>
      <c r="C66" s="273" t="s">
        <v>629</v>
      </c>
      <c r="D66" s="273" t="s">
        <v>630</v>
      </c>
      <c r="E66" s="273" t="s">
        <v>665</v>
      </c>
      <c r="F66" s="277" t="s">
        <v>666</v>
      </c>
      <c r="G66" s="278" t="s">
        <v>633</v>
      </c>
      <c r="H66" s="278"/>
      <c r="I66" s="273">
        <v>1</v>
      </c>
      <c r="J66" s="273">
        <v>13</v>
      </c>
      <c r="K66" s="273">
        <v>17</v>
      </c>
      <c r="L66" s="273" t="s">
        <v>664</v>
      </c>
      <c r="M66" s="273" t="s">
        <v>501</v>
      </c>
    </row>
    <row r="67" spans="2:13" x14ac:dyDescent="0.25">
      <c r="B67" s="273" t="s">
        <v>667</v>
      </c>
      <c r="C67" s="273" t="s">
        <v>629</v>
      </c>
      <c r="D67" s="273" t="s">
        <v>630</v>
      </c>
      <c r="E67" s="273" t="s">
        <v>665</v>
      </c>
      <c r="F67" s="277" t="s">
        <v>668</v>
      </c>
      <c r="G67" s="278" t="s">
        <v>559</v>
      </c>
      <c r="H67" s="278"/>
      <c r="I67" s="273">
        <v>1</v>
      </c>
      <c r="J67" s="273">
        <v>13</v>
      </c>
      <c r="K67" s="273">
        <v>15</v>
      </c>
      <c r="L67" s="273" t="s">
        <v>667</v>
      </c>
      <c r="M67" s="273" t="s">
        <v>501</v>
      </c>
    </row>
    <row r="68" spans="2:13" x14ac:dyDescent="0.25">
      <c r="B68" s="273" t="s">
        <v>669</v>
      </c>
      <c r="C68" s="273" t="s">
        <v>629</v>
      </c>
      <c r="D68" s="273" t="s">
        <v>630</v>
      </c>
      <c r="E68" s="273" t="s">
        <v>670</v>
      </c>
      <c r="F68" s="277" t="s">
        <v>671</v>
      </c>
      <c r="G68" s="278" t="s">
        <v>633</v>
      </c>
      <c r="H68" s="278"/>
      <c r="I68" s="273">
        <v>1</v>
      </c>
      <c r="J68" s="273">
        <v>15</v>
      </c>
      <c r="K68" s="273">
        <v>20</v>
      </c>
      <c r="L68" s="273" t="s">
        <v>669</v>
      </c>
      <c r="M68" s="273" t="s">
        <v>501</v>
      </c>
    </row>
    <row r="69" spans="2:13" x14ac:dyDescent="0.25">
      <c r="B69" s="273" t="s">
        <v>672</v>
      </c>
      <c r="C69" s="273" t="s">
        <v>629</v>
      </c>
      <c r="D69" s="273" t="s">
        <v>630</v>
      </c>
      <c r="E69" s="273" t="s">
        <v>673</v>
      </c>
      <c r="F69" s="277" t="s">
        <v>674</v>
      </c>
      <c r="G69" s="278" t="s">
        <v>633</v>
      </c>
      <c r="H69" s="278"/>
      <c r="I69" s="273">
        <v>1</v>
      </c>
      <c r="J69" s="273">
        <v>17</v>
      </c>
      <c r="K69" s="273">
        <v>24</v>
      </c>
      <c r="L69" s="273" t="s">
        <v>672</v>
      </c>
      <c r="M69" s="273" t="s">
        <v>501</v>
      </c>
    </row>
    <row r="70" spans="2:13" x14ac:dyDescent="0.25">
      <c r="B70" s="273" t="s">
        <v>675</v>
      </c>
      <c r="C70" s="273" t="s">
        <v>629</v>
      </c>
      <c r="D70" s="273" t="s">
        <v>630</v>
      </c>
      <c r="E70" s="273" t="s">
        <v>676</v>
      </c>
      <c r="F70" s="277" t="s">
        <v>677</v>
      </c>
      <c r="G70" s="278" t="s">
        <v>633</v>
      </c>
      <c r="H70" s="278"/>
      <c r="I70" s="273">
        <v>1</v>
      </c>
      <c r="J70" s="273">
        <v>18</v>
      </c>
      <c r="K70" s="273">
        <v>26</v>
      </c>
      <c r="L70" s="273" t="s">
        <v>675</v>
      </c>
      <c r="M70" s="273" t="s">
        <v>501</v>
      </c>
    </row>
    <row r="71" spans="2:13" x14ac:dyDescent="0.25">
      <c r="B71" s="273" t="s">
        <v>678</v>
      </c>
      <c r="C71" s="273" t="s">
        <v>629</v>
      </c>
      <c r="D71" s="273" t="s">
        <v>630</v>
      </c>
      <c r="E71" s="273" t="s">
        <v>676</v>
      </c>
      <c r="F71" s="277" t="s">
        <v>679</v>
      </c>
      <c r="G71" s="278" t="s">
        <v>559</v>
      </c>
      <c r="H71" s="278"/>
      <c r="I71" s="273">
        <v>1</v>
      </c>
      <c r="J71" s="273">
        <v>18</v>
      </c>
      <c r="K71" s="273">
        <v>20</v>
      </c>
      <c r="L71" s="273" t="s">
        <v>678</v>
      </c>
      <c r="M71" s="273" t="s">
        <v>501</v>
      </c>
    </row>
    <row r="72" spans="2:13" x14ac:dyDescent="0.25">
      <c r="B72" s="273" t="s">
        <v>680</v>
      </c>
      <c r="C72" s="273" t="s">
        <v>629</v>
      </c>
      <c r="D72" s="273" t="s">
        <v>630</v>
      </c>
      <c r="E72" s="273" t="s">
        <v>681</v>
      </c>
      <c r="F72" s="277" t="s">
        <v>682</v>
      </c>
      <c r="G72" s="278" t="s">
        <v>633</v>
      </c>
      <c r="H72" s="278"/>
      <c r="I72" s="273">
        <v>1</v>
      </c>
      <c r="J72" s="273">
        <v>20</v>
      </c>
      <c r="K72" s="273">
        <v>23</v>
      </c>
      <c r="L72" s="273" t="s">
        <v>680</v>
      </c>
      <c r="M72" s="273" t="s">
        <v>501</v>
      </c>
    </row>
    <row r="73" spans="2:13" x14ac:dyDescent="0.25">
      <c r="B73" s="273" t="s">
        <v>683</v>
      </c>
      <c r="C73" s="273" t="s">
        <v>629</v>
      </c>
      <c r="D73" s="273" t="s">
        <v>630</v>
      </c>
      <c r="E73" s="273" t="s">
        <v>684</v>
      </c>
      <c r="F73" s="277" t="s">
        <v>685</v>
      </c>
      <c r="G73" s="278" t="s">
        <v>633</v>
      </c>
      <c r="H73" s="278"/>
      <c r="I73" s="273">
        <v>1</v>
      </c>
      <c r="J73" s="273">
        <v>22</v>
      </c>
      <c r="K73" s="273">
        <v>24</v>
      </c>
      <c r="L73" s="273" t="s">
        <v>683</v>
      </c>
      <c r="M73" s="273" t="s">
        <v>501</v>
      </c>
    </row>
    <row r="74" spans="2:13" x14ac:dyDescent="0.25">
      <c r="B74" s="273" t="s">
        <v>686</v>
      </c>
      <c r="C74" s="273" t="s">
        <v>629</v>
      </c>
      <c r="D74" s="273" t="s">
        <v>630</v>
      </c>
      <c r="E74" s="273" t="s">
        <v>687</v>
      </c>
      <c r="F74" s="277" t="s">
        <v>688</v>
      </c>
      <c r="G74" s="278" t="s">
        <v>633</v>
      </c>
      <c r="H74" s="278"/>
      <c r="I74" s="273">
        <v>1</v>
      </c>
      <c r="J74" s="273">
        <v>25</v>
      </c>
      <c r="K74" s="273">
        <v>33</v>
      </c>
      <c r="L74" s="273" t="s">
        <v>686</v>
      </c>
      <c r="M74" s="273" t="s">
        <v>501</v>
      </c>
    </row>
    <row r="75" spans="2:13" x14ac:dyDescent="0.25">
      <c r="B75" s="273" t="s">
        <v>689</v>
      </c>
      <c r="C75" s="273" t="s">
        <v>629</v>
      </c>
      <c r="D75" s="273" t="s">
        <v>630</v>
      </c>
      <c r="E75" s="273" t="s">
        <v>690</v>
      </c>
      <c r="F75" s="277" t="s">
        <v>691</v>
      </c>
      <c r="G75" s="278" t="s">
        <v>633</v>
      </c>
      <c r="H75" s="278"/>
      <c r="I75" s="273">
        <v>1</v>
      </c>
      <c r="J75" s="273">
        <v>26</v>
      </c>
      <c r="K75" s="273">
        <v>33</v>
      </c>
      <c r="L75" s="273" t="s">
        <v>689</v>
      </c>
      <c r="M75" s="273" t="s">
        <v>501</v>
      </c>
    </row>
    <row r="76" spans="2:13" x14ac:dyDescent="0.25">
      <c r="B76" s="273" t="s">
        <v>692</v>
      </c>
      <c r="C76" s="273" t="s">
        <v>629</v>
      </c>
      <c r="D76" s="273" t="s">
        <v>630</v>
      </c>
      <c r="E76" s="273" t="s">
        <v>690</v>
      </c>
      <c r="F76" s="277" t="s">
        <v>693</v>
      </c>
      <c r="G76" s="278" t="s">
        <v>559</v>
      </c>
      <c r="H76" s="278"/>
      <c r="I76" s="273">
        <v>1</v>
      </c>
      <c r="J76" s="273">
        <v>26</v>
      </c>
      <c r="K76" s="273">
        <v>27</v>
      </c>
      <c r="L76" s="273" t="s">
        <v>692</v>
      </c>
      <c r="M76" s="273" t="s">
        <v>501</v>
      </c>
    </row>
    <row r="77" spans="2:13" x14ac:dyDescent="0.25">
      <c r="B77" s="273" t="s">
        <v>694</v>
      </c>
      <c r="C77" s="273" t="s">
        <v>629</v>
      </c>
      <c r="D77" s="273" t="s">
        <v>630</v>
      </c>
      <c r="E77" s="273" t="s">
        <v>695</v>
      </c>
      <c r="F77" s="277" t="s">
        <v>696</v>
      </c>
      <c r="G77" s="278" t="s">
        <v>633</v>
      </c>
      <c r="H77" s="278"/>
      <c r="I77" s="273">
        <v>1</v>
      </c>
      <c r="J77" s="273">
        <v>28</v>
      </c>
      <c r="K77" s="273">
        <v>33</v>
      </c>
      <c r="L77" s="273" t="s">
        <v>694</v>
      </c>
      <c r="M77" s="273" t="s">
        <v>501</v>
      </c>
    </row>
    <row r="78" spans="2:13" x14ac:dyDescent="0.25">
      <c r="B78" s="273" t="s">
        <v>697</v>
      </c>
      <c r="C78" s="273" t="s">
        <v>629</v>
      </c>
      <c r="D78" s="273" t="s">
        <v>630</v>
      </c>
      <c r="E78" s="273" t="s">
        <v>698</v>
      </c>
      <c r="F78" s="277" t="s">
        <v>699</v>
      </c>
      <c r="G78" s="278" t="s">
        <v>633</v>
      </c>
      <c r="H78" s="278"/>
      <c r="I78" s="273">
        <v>1</v>
      </c>
      <c r="J78" s="273">
        <v>9</v>
      </c>
      <c r="K78" s="273">
        <v>14</v>
      </c>
      <c r="L78" s="273" t="s">
        <v>697</v>
      </c>
      <c r="M78" s="273" t="s">
        <v>501</v>
      </c>
    </row>
    <row r="79" spans="2:13" x14ac:dyDescent="0.25">
      <c r="B79" s="273" t="s">
        <v>700</v>
      </c>
      <c r="C79" s="273" t="s">
        <v>629</v>
      </c>
      <c r="D79" s="273" t="s">
        <v>630</v>
      </c>
      <c r="E79" s="273" t="s">
        <v>701</v>
      </c>
      <c r="F79" s="277" t="s">
        <v>702</v>
      </c>
      <c r="G79" s="278" t="s">
        <v>559</v>
      </c>
      <c r="H79" s="278"/>
      <c r="I79" s="273">
        <v>1</v>
      </c>
      <c r="J79" s="273">
        <v>7</v>
      </c>
      <c r="K79" s="273">
        <v>7</v>
      </c>
      <c r="L79" s="273" t="s">
        <v>700</v>
      </c>
      <c r="M79" s="273" t="s">
        <v>501</v>
      </c>
    </row>
    <row r="80" spans="2:13" x14ac:dyDescent="0.25">
      <c r="B80" s="273" t="s">
        <v>703</v>
      </c>
      <c r="C80" s="273" t="s">
        <v>629</v>
      </c>
      <c r="D80" s="273" t="s">
        <v>630</v>
      </c>
      <c r="E80" s="273" t="s">
        <v>704</v>
      </c>
      <c r="F80" s="277" t="s">
        <v>705</v>
      </c>
      <c r="G80" s="278" t="s">
        <v>559</v>
      </c>
      <c r="H80" s="278"/>
      <c r="I80" s="273">
        <v>1</v>
      </c>
      <c r="J80" s="273">
        <v>9</v>
      </c>
      <c r="K80" s="273">
        <v>9</v>
      </c>
      <c r="L80" s="273" t="s">
        <v>703</v>
      </c>
      <c r="M80" s="273" t="s">
        <v>501</v>
      </c>
    </row>
    <row r="81" spans="2:13" x14ac:dyDescent="0.25">
      <c r="B81" s="273" t="s">
        <v>706</v>
      </c>
      <c r="C81" s="273" t="s">
        <v>629</v>
      </c>
      <c r="D81" s="273" t="s">
        <v>630</v>
      </c>
      <c r="E81" s="273" t="s">
        <v>707</v>
      </c>
      <c r="F81" s="277" t="s">
        <v>708</v>
      </c>
      <c r="G81" s="278" t="s">
        <v>559</v>
      </c>
      <c r="H81" s="278"/>
      <c r="I81" s="273">
        <v>1</v>
      </c>
      <c r="J81" s="273">
        <v>11</v>
      </c>
      <c r="K81" s="273">
        <v>11</v>
      </c>
      <c r="L81" s="273" t="s">
        <v>706</v>
      </c>
      <c r="M81" s="273" t="s">
        <v>501</v>
      </c>
    </row>
    <row r="82" spans="2:13" x14ac:dyDescent="0.25">
      <c r="B82" s="273" t="s">
        <v>709</v>
      </c>
      <c r="C82" s="273" t="s">
        <v>629</v>
      </c>
      <c r="D82" s="273" t="s">
        <v>630</v>
      </c>
      <c r="E82" s="273" t="s">
        <v>710</v>
      </c>
      <c r="F82" s="277" t="s">
        <v>711</v>
      </c>
      <c r="G82" s="278" t="s">
        <v>559</v>
      </c>
      <c r="H82" s="278"/>
      <c r="I82" s="273">
        <v>1</v>
      </c>
      <c r="J82" s="273">
        <v>13</v>
      </c>
      <c r="K82" s="273">
        <v>13</v>
      </c>
      <c r="L82" s="273" t="s">
        <v>709</v>
      </c>
      <c r="M82" s="273" t="s">
        <v>501</v>
      </c>
    </row>
    <row r="83" spans="2:13" x14ac:dyDescent="0.25">
      <c r="B83" s="273" t="s">
        <v>712</v>
      </c>
      <c r="C83" s="273" t="s">
        <v>629</v>
      </c>
      <c r="D83" s="273" t="s">
        <v>630</v>
      </c>
      <c r="E83" s="273" t="s">
        <v>713</v>
      </c>
      <c r="F83" s="277" t="s">
        <v>714</v>
      </c>
      <c r="G83" s="278" t="s">
        <v>559</v>
      </c>
      <c r="H83" s="278"/>
      <c r="I83" s="273">
        <v>1</v>
      </c>
      <c r="J83" s="273">
        <v>15</v>
      </c>
      <c r="K83" s="273">
        <v>15</v>
      </c>
      <c r="L83" s="273" t="s">
        <v>712</v>
      </c>
      <c r="M83" s="273" t="s">
        <v>501</v>
      </c>
    </row>
    <row r="84" spans="2:13" x14ac:dyDescent="0.25">
      <c r="B84" s="273" t="s">
        <v>715</v>
      </c>
      <c r="C84" s="273" t="s">
        <v>629</v>
      </c>
      <c r="D84" s="273" t="s">
        <v>630</v>
      </c>
      <c r="E84" s="273" t="s">
        <v>716</v>
      </c>
      <c r="F84" s="277" t="s">
        <v>717</v>
      </c>
      <c r="G84" s="278" t="s">
        <v>559</v>
      </c>
      <c r="H84" s="278"/>
      <c r="I84" s="273">
        <v>1</v>
      </c>
      <c r="J84" s="273">
        <v>20</v>
      </c>
      <c r="K84" s="273">
        <v>20</v>
      </c>
      <c r="L84" s="273" t="s">
        <v>715</v>
      </c>
      <c r="M84" s="273" t="s">
        <v>501</v>
      </c>
    </row>
    <row r="85" spans="2:13" x14ac:dyDescent="0.25">
      <c r="B85" s="273" t="s">
        <v>718</v>
      </c>
      <c r="C85" s="273" t="s">
        <v>629</v>
      </c>
      <c r="D85" s="273" t="s">
        <v>630</v>
      </c>
      <c r="E85" s="273" t="s">
        <v>719</v>
      </c>
      <c r="F85" s="277" t="s">
        <v>720</v>
      </c>
      <c r="G85" s="278" t="s">
        <v>559</v>
      </c>
      <c r="H85" s="278"/>
      <c r="I85" s="273">
        <v>1</v>
      </c>
      <c r="J85" s="273">
        <v>23</v>
      </c>
      <c r="K85" s="273">
        <v>23</v>
      </c>
      <c r="L85" s="273" t="s">
        <v>718</v>
      </c>
      <c r="M85" s="273" t="s">
        <v>501</v>
      </c>
    </row>
    <row r="86" spans="2:13" x14ac:dyDescent="0.25">
      <c r="B86" s="273" t="s">
        <v>721</v>
      </c>
      <c r="C86" s="273" t="s">
        <v>629</v>
      </c>
      <c r="D86" s="273" t="s">
        <v>630</v>
      </c>
      <c r="E86" s="273" t="s">
        <v>722</v>
      </c>
      <c r="F86" s="277" t="s">
        <v>723</v>
      </c>
      <c r="G86" s="278" t="s">
        <v>559</v>
      </c>
      <c r="H86" s="278"/>
      <c r="I86" s="273">
        <v>1</v>
      </c>
      <c r="J86" s="273">
        <v>26</v>
      </c>
      <c r="K86" s="273">
        <v>26</v>
      </c>
      <c r="L86" s="273" t="s">
        <v>721</v>
      </c>
      <c r="M86" s="273" t="s">
        <v>501</v>
      </c>
    </row>
    <row r="87" spans="2:13" x14ac:dyDescent="0.25">
      <c r="B87" s="273" t="s">
        <v>724</v>
      </c>
      <c r="C87" s="273" t="s">
        <v>629</v>
      </c>
      <c r="D87" s="273" t="s">
        <v>630</v>
      </c>
      <c r="E87" s="273" t="s">
        <v>725</v>
      </c>
      <c r="F87" s="277" t="s">
        <v>726</v>
      </c>
      <c r="G87" s="278" t="s">
        <v>559</v>
      </c>
      <c r="H87" s="278"/>
      <c r="I87" s="273">
        <v>1</v>
      </c>
      <c r="J87" s="273">
        <v>27</v>
      </c>
      <c r="K87" s="273">
        <v>27</v>
      </c>
      <c r="L87" s="273" t="s">
        <v>724</v>
      </c>
      <c r="M87" s="273" t="s">
        <v>501</v>
      </c>
    </row>
    <row r="88" spans="2:13" x14ac:dyDescent="0.25">
      <c r="B88" s="273" t="s">
        <v>727</v>
      </c>
      <c r="C88" s="273" t="s">
        <v>629</v>
      </c>
      <c r="D88" s="273" t="s">
        <v>630</v>
      </c>
      <c r="E88" s="273" t="s">
        <v>728</v>
      </c>
      <c r="F88" s="277" t="s">
        <v>729</v>
      </c>
      <c r="G88" s="278" t="s">
        <v>633</v>
      </c>
      <c r="H88" s="278"/>
      <c r="I88" s="273">
        <v>1</v>
      </c>
      <c r="J88" s="273">
        <v>13</v>
      </c>
      <c r="K88" s="273">
        <v>17</v>
      </c>
      <c r="L88" s="273" t="s">
        <v>727</v>
      </c>
      <c r="M88" s="273" t="s">
        <v>501</v>
      </c>
    </row>
    <row r="89" spans="2:13" x14ac:dyDescent="0.25">
      <c r="B89" s="273" t="s">
        <v>730</v>
      </c>
      <c r="C89" s="273" t="s">
        <v>629</v>
      </c>
      <c r="D89" s="273" t="s">
        <v>630</v>
      </c>
      <c r="E89" s="273" t="s">
        <v>731</v>
      </c>
      <c r="F89" s="277" t="s">
        <v>732</v>
      </c>
      <c r="G89" s="278" t="s">
        <v>633</v>
      </c>
      <c r="H89" s="278"/>
      <c r="I89" s="273">
        <v>1</v>
      </c>
      <c r="J89" s="273">
        <v>18</v>
      </c>
      <c r="K89" s="273">
        <v>24</v>
      </c>
      <c r="L89" s="273" t="s">
        <v>730</v>
      </c>
      <c r="M89" s="273" t="s">
        <v>501</v>
      </c>
    </row>
    <row r="90" spans="2:13" x14ac:dyDescent="0.25">
      <c r="B90" s="273" t="s">
        <v>733</v>
      </c>
      <c r="C90" s="273" t="s">
        <v>629</v>
      </c>
      <c r="D90" s="273" t="s">
        <v>630</v>
      </c>
      <c r="E90" s="273" t="s">
        <v>734</v>
      </c>
      <c r="F90" s="277" t="s">
        <v>735</v>
      </c>
      <c r="G90" s="278" t="s">
        <v>633</v>
      </c>
      <c r="H90" s="278"/>
      <c r="I90" s="273">
        <v>1</v>
      </c>
      <c r="J90" s="273">
        <v>22</v>
      </c>
      <c r="K90" s="273">
        <v>27</v>
      </c>
      <c r="L90" s="273" t="s">
        <v>733</v>
      </c>
      <c r="M90" s="273" t="s">
        <v>501</v>
      </c>
    </row>
    <row r="91" spans="2:13" x14ac:dyDescent="0.25">
      <c r="B91" s="273" t="s">
        <v>736</v>
      </c>
      <c r="C91" s="273" t="s">
        <v>629</v>
      </c>
      <c r="D91" s="273" t="s">
        <v>630</v>
      </c>
      <c r="E91" s="273" t="s">
        <v>737</v>
      </c>
      <c r="F91" s="277" t="s">
        <v>738</v>
      </c>
      <c r="G91" s="278" t="s">
        <v>633</v>
      </c>
      <c r="H91" s="278"/>
      <c r="I91" s="273">
        <v>1</v>
      </c>
      <c r="J91" s="273">
        <v>24</v>
      </c>
      <c r="K91" s="273">
        <v>32</v>
      </c>
      <c r="L91" s="273" t="s">
        <v>736</v>
      </c>
      <c r="M91" s="273" t="s">
        <v>501</v>
      </c>
    </row>
    <row r="92" spans="2:13" x14ac:dyDescent="0.25">
      <c r="B92" s="273" t="s">
        <v>739</v>
      </c>
      <c r="C92" s="273" t="s">
        <v>629</v>
      </c>
      <c r="D92" s="273" t="s">
        <v>630</v>
      </c>
      <c r="E92" s="273" t="s">
        <v>740</v>
      </c>
      <c r="F92" s="277" t="s">
        <v>741</v>
      </c>
      <c r="G92" s="278" t="s">
        <v>633</v>
      </c>
      <c r="H92" s="278"/>
      <c r="I92" s="273">
        <v>1</v>
      </c>
      <c r="J92" s="273">
        <v>28</v>
      </c>
      <c r="K92" s="273">
        <v>33</v>
      </c>
      <c r="L92" s="273" t="s">
        <v>739</v>
      </c>
      <c r="M92" s="273" t="s">
        <v>501</v>
      </c>
    </row>
    <row r="93" spans="2:13" x14ac:dyDescent="0.25">
      <c r="B93" s="273" t="s">
        <v>742</v>
      </c>
      <c r="C93" s="273" t="s">
        <v>629</v>
      </c>
      <c r="D93" s="273" t="s">
        <v>630</v>
      </c>
      <c r="E93" s="273" t="s">
        <v>743</v>
      </c>
      <c r="F93" s="277" t="s">
        <v>744</v>
      </c>
      <c r="G93" s="278" t="s">
        <v>559</v>
      </c>
      <c r="H93" s="278"/>
      <c r="I93" s="273">
        <v>1</v>
      </c>
      <c r="J93" s="273">
        <v>32</v>
      </c>
      <c r="K93" s="273">
        <v>34</v>
      </c>
      <c r="L93" s="273" t="s">
        <v>742</v>
      </c>
      <c r="M93" s="273" t="s">
        <v>501</v>
      </c>
    </row>
    <row r="94" spans="2:13" x14ac:dyDescent="0.25">
      <c r="B94" s="273" t="s">
        <v>745</v>
      </c>
      <c r="C94" s="273" t="s">
        <v>629</v>
      </c>
      <c r="D94" s="273" t="s">
        <v>630</v>
      </c>
      <c r="E94" s="273" t="s">
        <v>746</v>
      </c>
      <c r="F94" s="277" t="s">
        <v>747</v>
      </c>
      <c r="G94" s="278" t="s">
        <v>633</v>
      </c>
      <c r="H94" s="278"/>
      <c r="I94" s="273">
        <v>1</v>
      </c>
      <c r="J94" s="273">
        <v>36</v>
      </c>
      <c r="K94" s="273">
        <v>51</v>
      </c>
      <c r="L94" s="273" t="s">
        <v>745</v>
      </c>
      <c r="M94" s="273" t="s">
        <v>501</v>
      </c>
    </row>
    <row r="95" spans="2:13" x14ac:dyDescent="0.25">
      <c r="B95" s="273" t="s">
        <v>748</v>
      </c>
      <c r="C95" s="273" t="s">
        <v>629</v>
      </c>
      <c r="D95" s="273" t="s">
        <v>630</v>
      </c>
      <c r="E95" s="273" t="s">
        <v>749</v>
      </c>
      <c r="F95" s="277" t="s">
        <v>750</v>
      </c>
      <c r="G95" s="278" t="s">
        <v>633</v>
      </c>
      <c r="H95" s="278"/>
      <c r="I95" s="273">
        <v>1</v>
      </c>
      <c r="J95" s="273">
        <v>40</v>
      </c>
      <c r="K95" s="273">
        <v>46</v>
      </c>
      <c r="L95" s="273" t="s">
        <v>748</v>
      </c>
      <c r="M95" s="273" t="s">
        <v>501</v>
      </c>
    </row>
    <row r="96" spans="2:13" x14ac:dyDescent="0.25">
      <c r="B96" s="273" t="s">
        <v>751</v>
      </c>
      <c r="C96" s="273" t="s">
        <v>629</v>
      </c>
      <c r="D96" s="273" t="s">
        <v>630</v>
      </c>
      <c r="E96" s="273" t="s">
        <v>749</v>
      </c>
      <c r="F96" s="277" t="s">
        <v>752</v>
      </c>
      <c r="G96" s="278" t="s">
        <v>559</v>
      </c>
      <c r="H96" s="278"/>
      <c r="I96" s="273">
        <v>1</v>
      </c>
      <c r="J96" s="273">
        <v>40</v>
      </c>
      <c r="K96" s="273">
        <v>46</v>
      </c>
      <c r="L96" s="273" t="s">
        <v>751</v>
      </c>
      <c r="M96" s="273" t="s">
        <v>501</v>
      </c>
    </row>
    <row r="97" spans="2:13" x14ac:dyDescent="0.25">
      <c r="B97" s="273" t="s">
        <v>753</v>
      </c>
      <c r="C97" s="273" t="s">
        <v>629</v>
      </c>
      <c r="D97" s="273" t="s">
        <v>630</v>
      </c>
      <c r="E97" s="273" t="s">
        <v>749</v>
      </c>
      <c r="F97" s="277" t="s">
        <v>754</v>
      </c>
      <c r="G97" s="278" t="s">
        <v>559</v>
      </c>
      <c r="H97" s="278"/>
      <c r="I97" s="273">
        <v>1</v>
      </c>
      <c r="J97" s="273">
        <v>40</v>
      </c>
      <c r="K97" s="273">
        <v>43</v>
      </c>
      <c r="L97" s="273" t="s">
        <v>753</v>
      </c>
      <c r="M97" s="273" t="s">
        <v>501</v>
      </c>
    </row>
    <row r="98" spans="2:13" x14ac:dyDescent="0.25">
      <c r="B98" s="273" t="s">
        <v>755</v>
      </c>
      <c r="C98" s="273" t="s">
        <v>629</v>
      </c>
      <c r="D98" s="273" t="s">
        <v>630</v>
      </c>
      <c r="E98" s="273" t="s">
        <v>756</v>
      </c>
      <c r="F98" s="277" t="s">
        <v>757</v>
      </c>
      <c r="G98" s="278" t="s">
        <v>633</v>
      </c>
      <c r="H98" s="278"/>
      <c r="I98" s="273">
        <v>1</v>
      </c>
      <c r="J98" s="273">
        <v>5</v>
      </c>
      <c r="K98" s="273">
        <v>9</v>
      </c>
      <c r="L98" s="273" t="s">
        <v>758</v>
      </c>
      <c r="M98" s="273" t="s">
        <v>501</v>
      </c>
    </row>
    <row r="99" spans="2:13" x14ac:dyDescent="0.25">
      <c r="B99" s="273" t="s">
        <v>759</v>
      </c>
      <c r="C99" s="273" t="s">
        <v>629</v>
      </c>
      <c r="D99" s="273" t="s">
        <v>630</v>
      </c>
      <c r="E99" s="273" t="s">
        <v>760</v>
      </c>
      <c r="F99" s="277" t="s">
        <v>761</v>
      </c>
      <c r="G99" s="278" t="s">
        <v>559</v>
      </c>
      <c r="H99" s="278"/>
      <c r="I99" s="273">
        <v>1</v>
      </c>
      <c r="J99" s="273">
        <v>50</v>
      </c>
      <c r="K99" s="273">
        <v>54</v>
      </c>
      <c r="L99" s="273" t="s">
        <v>759</v>
      </c>
      <c r="M99" s="273" t="s">
        <v>501</v>
      </c>
    </row>
    <row r="100" spans="2:13" x14ac:dyDescent="0.25">
      <c r="B100" s="273" t="s">
        <v>762</v>
      </c>
      <c r="C100" s="273" t="s">
        <v>629</v>
      </c>
      <c r="D100" s="273" t="s">
        <v>630</v>
      </c>
      <c r="E100" s="273" t="s">
        <v>763</v>
      </c>
      <c r="F100" s="277" t="s">
        <v>764</v>
      </c>
      <c r="G100" s="278" t="s">
        <v>559</v>
      </c>
      <c r="H100" s="278"/>
      <c r="I100" s="273">
        <v>1</v>
      </c>
      <c r="J100" s="273">
        <v>55</v>
      </c>
      <c r="K100" s="273">
        <v>56</v>
      </c>
      <c r="L100" s="273" t="s">
        <v>762</v>
      </c>
      <c r="M100" s="273" t="s">
        <v>501</v>
      </c>
    </row>
    <row r="101" spans="2:13" x14ac:dyDescent="0.25">
      <c r="B101" s="273" t="s">
        <v>765</v>
      </c>
      <c r="C101" s="273" t="s">
        <v>629</v>
      </c>
      <c r="D101" s="273" t="s">
        <v>630</v>
      </c>
      <c r="E101" s="273" t="s">
        <v>766</v>
      </c>
      <c r="F101" s="277" t="s">
        <v>767</v>
      </c>
      <c r="G101" s="278" t="s">
        <v>633</v>
      </c>
      <c r="H101" s="278"/>
      <c r="I101" s="273">
        <v>1</v>
      </c>
      <c r="J101" s="273">
        <v>7</v>
      </c>
      <c r="K101" s="273">
        <v>10</v>
      </c>
      <c r="L101" s="273" t="s">
        <v>765</v>
      </c>
      <c r="M101" s="273" t="s">
        <v>501</v>
      </c>
    </row>
    <row r="102" spans="2:13" x14ac:dyDescent="0.25">
      <c r="B102" s="273" t="s">
        <v>768</v>
      </c>
      <c r="C102" s="273" t="s">
        <v>629</v>
      </c>
      <c r="D102" s="273" t="s">
        <v>630</v>
      </c>
      <c r="E102" s="273" t="s">
        <v>769</v>
      </c>
      <c r="F102" s="277" t="s">
        <v>770</v>
      </c>
      <c r="G102" s="278" t="s">
        <v>633</v>
      </c>
      <c r="H102" s="278"/>
      <c r="I102" s="273">
        <v>1</v>
      </c>
      <c r="J102" s="273">
        <v>9</v>
      </c>
      <c r="K102" s="273">
        <v>11</v>
      </c>
      <c r="L102" s="273" t="s">
        <v>768</v>
      </c>
      <c r="M102" s="273" t="s">
        <v>501</v>
      </c>
    </row>
    <row r="103" spans="2:13" x14ac:dyDescent="0.25">
      <c r="B103" s="273" t="s">
        <v>771</v>
      </c>
      <c r="C103" s="273" t="s">
        <v>629</v>
      </c>
      <c r="D103" s="273" t="s">
        <v>630</v>
      </c>
      <c r="E103" s="273" t="s">
        <v>636</v>
      </c>
      <c r="F103" s="277" t="s">
        <v>772</v>
      </c>
      <c r="G103" s="278" t="s">
        <v>633</v>
      </c>
      <c r="H103" s="278"/>
      <c r="I103" s="273">
        <v>2</v>
      </c>
      <c r="J103" s="273">
        <v>11</v>
      </c>
      <c r="K103" s="273">
        <v>26</v>
      </c>
      <c r="L103" s="273" t="s">
        <v>771</v>
      </c>
      <c r="M103" s="273" t="s">
        <v>501</v>
      </c>
    </row>
    <row r="104" spans="2:13" x14ac:dyDescent="0.25">
      <c r="B104" s="273" t="s">
        <v>773</v>
      </c>
      <c r="C104" s="273" t="s">
        <v>629</v>
      </c>
      <c r="D104" s="273" t="s">
        <v>630</v>
      </c>
      <c r="E104" s="273" t="s">
        <v>659</v>
      </c>
      <c r="F104" s="277" t="s">
        <v>774</v>
      </c>
      <c r="G104" s="278" t="s">
        <v>559</v>
      </c>
      <c r="H104" s="278"/>
      <c r="I104" s="273">
        <v>2</v>
      </c>
      <c r="J104" s="273">
        <v>42</v>
      </c>
      <c r="K104" s="273">
        <v>100</v>
      </c>
      <c r="L104" s="273" t="s">
        <v>773</v>
      </c>
      <c r="M104" s="273" t="s">
        <v>501</v>
      </c>
    </row>
    <row r="105" spans="2:13" x14ac:dyDescent="0.25">
      <c r="B105" s="273" t="s">
        <v>775</v>
      </c>
      <c r="C105" s="273" t="s">
        <v>629</v>
      </c>
      <c r="D105" s="273" t="s">
        <v>630</v>
      </c>
      <c r="E105" s="273" t="s">
        <v>665</v>
      </c>
      <c r="F105" s="277" t="s">
        <v>776</v>
      </c>
      <c r="G105" s="278" t="s">
        <v>633</v>
      </c>
      <c r="H105" s="278"/>
      <c r="I105" s="273">
        <v>2</v>
      </c>
      <c r="J105" s="273">
        <v>13</v>
      </c>
      <c r="K105" s="273">
        <v>31</v>
      </c>
      <c r="L105" s="273" t="s">
        <v>775</v>
      </c>
      <c r="M105" s="273" t="s">
        <v>501</v>
      </c>
    </row>
    <row r="106" spans="2:13" x14ac:dyDescent="0.25">
      <c r="B106" s="273" t="s">
        <v>777</v>
      </c>
      <c r="C106" s="273" t="s">
        <v>629</v>
      </c>
      <c r="D106" s="273" t="s">
        <v>630</v>
      </c>
      <c r="E106" s="273" t="s">
        <v>665</v>
      </c>
      <c r="F106" s="277" t="s">
        <v>778</v>
      </c>
      <c r="G106" s="278" t="s">
        <v>559</v>
      </c>
      <c r="H106" s="278"/>
      <c r="I106" s="273">
        <v>2</v>
      </c>
      <c r="J106" s="273">
        <v>13</v>
      </c>
      <c r="K106" s="273">
        <v>28</v>
      </c>
      <c r="L106" s="273" t="s">
        <v>777</v>
      </c>
      <c r="M106" s="273" t="s">
        <v>501</v>
      </c>
    </row>
    <row r="107" spans="2:13" x14ac:dyDescent="0.25">
      <c r="B107" s="273" t="s">
        <v>779</v>
      </c>
      <c r="C107" s="273" t="s">
        <v>629</v>
      </c>
      <c r="D107" s="273" t="s">
        <v>630</v>
      </c>
      <c r="E107" s="273" t="s">
        <v>673</v>
      </c>
      <c r="F107" s="277" t="s">
        <v>780</v>
      </c>
      <c r="G107" s="278" t="s">
        <v>633</v>
      </c>
      <c r="H107" s="278"/>
      <c r="I107" s="273">
        <v>2</v>
      </c>
      <c r="J107" s="273">
        <v>17</v>
      </c>
      <c r="K107" s="273">
        <v>48</v>
      </c>
      <c r="L107" s="273" t="s">
        <v>779</v>
      </c>
      <c r="M107" s="273" t="s">
        <v>501</v>
      </c>
    </row>
    <row r="108" spans="2:13" x14ac:dyDescent="0.25">
      <c r="B108" s="273" t="s">
        <v>781</v>
      </c>
      <c r="C108" s="273" t="s">
        <v>629</v>
      </c>
      <c r="D108" s="273" t="s">
        <v>630</v>
      </c>
      <c r="E108" s="273" t="s">
        <v>676</v>
      </c>
      <c r="F108" s="277" t="s">
        <v>782</v>
      </c>
      <c r="G108" s="278" t="s">
        <v>633</v>
      </c>
      <c r="H108" s="278"/>
      <c r="I108" s="273">
        <v>2</v>
      </c>
      <c r="J108" s="273">
        <v>18</v>
      </c>
      <c r="K108" s="273">
        <v>45</v>
      </c>
      <c r="L108" s="273" t="s">
        <v>781</v>
      </c>
      <c r="M108" s="273" t="s">
        <v>501</v>
      </c>
    </row>
    <row r="109" spans="2:13" x14ac:dyDescent="0.25">
      <c r="B109" s="273" t="s">
        <v>783</v>
      </c>
      <c r="C109" s="273" t="s">
        <v>629</v>
      </c>
      <c r="D109" s="273" t="s">
        <v>630</v>
      </c>
      <c r="E109" s="273" t="s">
        <v>676</v>
      </c>
      <c r="F109" s="277" t="s">
        <v>784</v>
      </c>
      <c r="G109" s="278" t="s">
        <v>559</v>
      </c>
      <c r="H109" s="278"/>
      <c r="I109" s="273">
        <v>2</v>
      </c>
      <c r="J109" s="273">
        <v>18</v>
      </c>
      <c r="K109" s="273">
        <v>38</v>
      </c>
      <c r="L109" s="273" t="s">
        <v>783</v>
      </c>
      <c r="M109" s="273" t="s">
        <v>501</v>
      </c>
    </row>
    <row r="110" spans="2:13" x14ac:dyDescent="0.25">
      <c r="B110" s="273" t="s">
        <v>785</v>
      </c>
      <c r="C110" s="273" t="s">
        <v>629</v>
      </c>
      <c r="D110" s="273" t="s">
        <v>630</v>
      </c>
      <c r="E110" s="273" t="s">
        <v>681</v>
      </c>
      <c r="F110" s="277" t="s">
        <v>786</v>
      </c>
      <c r="G110" s="278" t="s">
        <v>633</v>
      </c>
      <c r="H110" s="278"/>
      <c r="I110" s="273">
        <v>2</v>
      </c>
      <c r="J110" s="273">
        <v>20</v>
      </c>
      <c r="K110" s="273">
        <v>46</v>
      </c>
      <c r="L110" s="273" t="s">
        <v>785</v>
      </c>
      <c r="M110" s="273" t="s">
        <v>501</v>
      </c>
    </row>
    <row r="111" spans="2:13" x14ac:dyDescent="0.25">
      <c r="B111" s="273" t="s">
        <v>787</v>
      </c>
      <c r="C111" s="273" t="s">
        <v>629</v>
      </c>
      <c r="D111" s="273" t="s">
        <v>630</v>
      </c>
      <c r="E111" s="273" t="s">
        <v>684</v>
      </c>
      <c r="F111" s="277" t="s">
        <v>788</v>
      </c>
      <c r="G111" s="278" t="s">
        <v>633</v>
      </c>
      <c r="H111" s="278"/>
      <c r="I111" s="273">
        <v>2</v>
      </c>
      <c r="J111" s="273">
        <v>22</v>
      </c>
      <c r="K111" s="273">
        <v>48</v>
      </c>
      <c r="L111" s="273" t="s">
        <v>787</v>
      </c>
      <c r="M111" s="273" t="s">
        <v>501</v>
      </c>
    </row>
    <row r="112" spans="2:13" x14ac:dyDescent="0.25">
      <c r="B112" s="273" t="s">
        <v>789</v>
      </c>
      <c r="C112" s="273" t="s">
        <v>629</v>
      </c>
      <c r="D112" s="273" t="s">
        <v>630</v>
      </c>
      <c r="E112" s="273" t="s">
        <v>687</v>
      </c>
      <c r="F112" s="277" t="s">
        <v>790</v>
      </c>
      <c r="G112" s="278" t="s">
        <v>633</v>
      </c>
      <c r="H112" s="278"/>
      <c r="I112" s="273">
        <v>2</v>
      </c>
      <c r="J112" s="273">
        <v>25</v>
      </c>
      <c r="K112" s="273">
        <v>66</v>
      </c>
      <c r="L112" s="273" t="s">
        <v>789</v>
      </c>
      <c r="M112" s="273" t="s">
        <v>501</v>
      </c>
    </row>
    <row r="113" spans="2:13" x14ac:dyDescent="0.25">
      <c r="B113" s="273" t="s">
        <v>791</v>
      </c>
      <c r="C113" s="273" t="s">
        <v>629</v>
      </c>
      <c r="D113" s="273" t="s">
        <v>630</v>
      </c>
      <c r="E113" s="273" t="s">
        <v>690</v>
      </c>
      <c r="F113" s="277" t="s">
        <v>792</v>
      </c>
      <c r="G113" s="278" t="s">
        <v>633</v>
      </c>
      <c r="H113" s="278"/>
      <c r="I113" s="273">
        <v>2</v>
      </c>
      <c r="J113" s="273">
        <v>26</v>
      </c>
      <c r="K113" s="273">
        <v>66</v>
      </c>
      <c r="L113" s="273" t="s">
        <v>791</v>
      </c>
      <c r="M113" s="273" t="s">
        <v>501</v>
      </c>
    </row>
    <row r="114" spans="2:13" x14ac:dyDescent="0.25">
      <c r="B114" s="273" t="s">
        <v>793</v>
      </c>
      <c r="C114" s="273" t="s">
        <v>629</v>
      </c>
      <c r="D114" s="273" t="s">
        <v>630</v>
      </c>
      <c r="E114" s="273" t="s">
        <v>690</v>
      </c>
      <c r="F114" s="277" t="s">
        <v>794</v>
      </c>
      <c r="G114" s="278" t="s">
        <v>559</v>
      </c>
      <c r="H114" s="278"/>
      <c r="I114" s="273">
        <v>2</v>
      </c>
      <c r="J114" s="273">
        <v>26</v>
      </c>
      <c r="K114" s="273">
        <v>50</v>
      </c>
      <c r="L114" s="273" t="s">
        <v>793</v>
      </c>
      <c r="M114" s="273" t="s">
        <v>501</v>
      </c>
    </row>
    <row r="115" spans="2:13" x14ac:dyDescent="0.25">
      <c r="B115" s="273" t="s">
        <v>795</v>
      </c>
      <c r="C115" s="273" t="s">
        <v>629</v>
      </c>
      <c r="D115" s="273" t="s">
        <v>630</v>
      </c>
      <c r="E115" s="273" t="s">
        <v>698</v>
      </c>
      <c r="F115" s="277" t="s">
        <v>796</v>
      </c>
      <c r="G115" s="278" t="s">
        <v>633</v>
      </c>
      <c r="H115" s="278"/>
      <c r="I115" s="273">
        <v>2</v>
      </c>
      <c r="J115" s="273">
        <v>9</v>
      </c>
      <c r="K115" s="273">
        <v>23</v>
      </c>
      <c r="L115" s="273" t="s">
        <v>795</v>
      </c>
      <c r="M115" s="273" t="s">
        <v>501</v>
      </c>
    </row>
    <row r="116" spans="2:13" x14ac:dyDescent="0.25">
      <c r="B116" s="273" t="s">
        <v>797</v>
      </c>
      <c r="C116" s="273" t="s">
        <v>629</v>
      </c>
      <c r="D116" s="273" t="s">
        <v>630</v>
      </c>
      <c r="E116" s="273" t="s">
        <v>728</v>
      </c>
      <c r="F116" s="277" t="s">
        <v>798</v>
      </c>
      <c r="G116" s="278" t="s">
        <v>633</v>
      </c>
      <c r="H116" s="278"/>
      <c r="I116" s="273">
        <v>2</v>
      </c>
      <c r="J116" s="273">
        <v>13</v>
      </c>
      <c r="K116" s="273">
        <v>31</v>
      </c>
      <c r="L116" s="273" t="s">
        <v>797</v>
      </c>
      <c r="M116" s="273" t="s">
        <v>501</v>
      </c>
    </row>
    <row r="117" spans="2:13" x14ac:dyDescent="0.25">
      <c r="B117" s="273" t="s">
        <v>799</v>
      </c>
      <c r="C117" s="273" t="s">
        <v>629</v>
      </c>
      <c r="D117" s="273" t="s">
        <v>630</v>
      </c>
      <c r="E117" s="273" t="s">
        <v>734</v>
      </c>
      <c r="F117" s="277" t="s">
        <v>800</v>
      </c>
      <c r="G117" s="278" t="s">
        <v>633</v>
      </c>
      <c r="H117" s="278"/>
      <c r="I117" s="273">
        <v>2</v>
      </c>
      <c r="J117" s="273">
        <v>22</v>
      </c>
      <c r="K117" s="273">
        <v>54</v>
      </c>
      <c r="L117" s="273" t="s">
        <v>799</v>
      </c>
      <c r="M117" s="273" t="s">
        <v>501</v>
      </c>
    </row>
    <row r="118" spans="2:13" x14ac:dyDescent="0.25">
      <c r="B118" s="273" t="s">
        <v>801</v>
      </c>
      <c r="C118" s="273" t="s">
        <v>629</v>
      </c>
      <c r="D118" s="273" t="s">
        <v>630</v>
      </c>
      <c r="E118" s="273" t="s">
        <v>740</v>
      </c>
      <c r="F118" s="277" t="s">
        <v>802</v>
      </c>
      <c r="G118" s="278" t="s">
        <v>633</v>
      </c>
      <c r="H118" s="278"/>
      <c r="I118" s="273">
        <v>2</v>
      </c>
      <c r="J118" s="273">
        <v>28</v>
      </c>
      <c r="K118" s="273">
        <v>66</v>
      </c>
      <c r="L118" s="273" t="s">
        <v>801</v>
      </c>
      <c r="M118" s="273" t="s">
        <v>501</v>
      </c>
    </row>
    <row r="119" spans="2:13" x14ac:dyDescent="0.25">
      <c r="B119" s="273" t="s">
        <v>803</v>
      </c>
      <c r="C119" s="273" t="s">
        <v>629</v>
      </c>
      <c r="D119" s="273" t="s">
        <v>630</v>
      </c>
      <c r="E119" s="273" t="s">
        <v>743</v>
      </c>
      <c r="F119" s="277" t="s">
        <v>804</v>
      </c>
      <c r="G119" s="278" t="s">
        <v>559</v>
      </c>
      <c r="H119" s="278"/>
      <c r="I119" s="273">
        <v>2</v>
      </c>
      <c r="J119" s="273">
        <v>32</v>
      </c>
      <c r="K119" s="273">
        <v>62</v>
      </c>
      <c r="L119" s="273" t="s">
        <v>803</v>
      </c>
      <c r="M119" s="273" t="s">
        <v>501</v>
      </c>
    </row>
    <row r="120" spans="2:13" x14ac:dyDescent="0.25">
      <c r="B120" s="273" t="s">
        <v>805</v>
      </c>
      <c r="C120" s="273" t="s">
        <v>629</v>
      </c>
      <c r="D120" s="273" t="s">
        <v>630</v>
      </c>
      <c r="E120" s="273" t="s">
        <v>749</v>
      </c>
      <c r="F120" s="277" t="s">
        <v>806</v>
      </c>
      <c r="G120" s="278" t="s">
        <v>633</v>
      </c>
      <c r="H120" s="278"/>
      <c r="I120" s="273">
        <v>2</v>
      </c>
      <c r="J120" s="273">
        <v>40</v>
      </c>
      <c r="K120" s="273">
        <v>85</v>
      </c>
      <c r="L120" s="273" t="s">
        <v>805</v>
      </c>
      <c r="M120" s="273" t="s">
        <v>501</v>
      </c>
    </row>
    <row r="121" spans="2:13" x14ac:dyDescent="0.25">
      <c r="B121" s="273" t="s">
        <v>807</v>
      </c>
      <c r="C121" s="273" t="s">
        <v>629</v>
      </c>
      <c r="D121" s="273" t="s">
        <v>630</v>
      </c>
      <c r="E121" s="273" t="s">
        <v>749</v>
      </c>
      <c r="F121" s="277" t="s">
        <v>808</v>
      </c>
      <c r="G121" s="278" t="s">
        <v>559</v>
      </c>
      <c r="H121" s="278"/>
      <c r="I121" s="273">
        <v>2</v>
      </c>
      <c r="J121" s="273">
        <v>40</v>
      </c>
      <c r="K121" s="273">
        <v>72</v>
      </c>
      <c r="L121" s="273" t="s">
        <v>807</v>
      </c>
      <c r="M121" s="273" t="s">
        <v>501</v>
      </c>
    </row>
    <row r="122" spans="2:13" x14ac:dyDescent="0.25">
      <c r="B122" s="273" t="s">
        <v>809</v>
      </c>
      <c r="C122" s="273" t="s">
        <v>629</v>
      </c>
      <c r="D122" s="273" t="s">
        <v>630</v>
      </c>
      <c r="E122" s="273" t="s">
        <v>749</v>
      </c>
      <c r="F122" s="277" t="s">
        <v>810</v>
      </c>
      <c r="G122" s="278" t="s">
        <v>559</v>
      </c>
      <c r="H122" s="278"/>
      <c r="I122" s="273">
        <v>2</v>
      </c>
      <c r="J122" s="273">
        <v>40</v>
      </c>
      <c r="K122" s="273">
        <v>72</v>
      </c>
      <c r="L122" s="273" t="s">
        <v>809</v>
      </c>
      <c r="M122" s="273" t="s">
        <v>501</v>
      </c>
    </row>
    <row r="123" spans="2:13" x14ac:dyDescent="0.25">
      <c r="B123" s="273" t="s">
        <v>811</v>
      </c>
      <c r="C123" s="273" t="s">
        <v>629</v>
      </c>
      <c r="D123" s="273" t="s">
        <v>630</v>
      </c>
      <c r="E123" s="273" t="s">
        <v>756</v>
      </c>
      <c r="F123" s="277" t="s">
        <v>812</v>
      </c>
      <c r="G123" s="278" t="s">
        <v>633</v>
      </c>
      <c r="H123" s="278"/>
      <c r="I123" s="273">
        <v>2</v>
      </c>
      <c r="J123" s="273">
        <v>5</v>
      </c>
      <c r="K123" s="273">
        <v>18</v>
      </c>
      <c r="L123" s="273" t="s">
        <v>811</v>
      </c>
      <c r="M123" s="273" t="s">
        <v>501</v>
      </c>
    </row>
    <row r="124" spans="2:13" x14ac:dyDescent="0.25">
      <c r="B124" s="273" t="s">
        <v>813</v>
      </c>
      <c r="C124" s="273" t="s">
        <v>629</v>
      </c>
      <c r="D124" s="273" t="s">
        <v>630</v>
      </c>
      <c r="E124" s="273" t="s">
        <v>760</v>
      </c>
      <c r="F124" s="277" t="s">
        <v>814</v>
      </c>
      <c r="G124" s="278" t="s">
        <v>559</v>
      </c>
      <c r="H124" s="278"/>
      <c r="I124" s="273">
        <v>2</v>
      </c>
      <c r="J124" s="273">
        <v>50</v>
      </c>
      <c r="K124" s="273">
        <v>108</v>
      </c>
      <c r="L124" s="273" t="s">
        <v>813</v>
      </c>
      <c r="M124" s="273" t="s">
        <v>501</v>
      </c>
    </row>
    <row r="125" spans="2:13" x14ac:dyDescent="0.25">
      <c r="B125" s="273" t="s">
        <v>815</v>
      </c>
      <c r="C125" s="273" t="s">
        <v>629</v>
      </c>
      <c r="D125" s="273" t="s">
        <v>630</v>
      </c>
      <c r="E125" s="273" t="s">
        <v>763</v>
      </c>
      <c r="F125" s="277" t="s">
        <v>816</v>
      </c>
      <c r="G125" s="278" t="s">
        <v>559</v>
      </c>
      <c r="H125" s="278"/>
      <c r="I125" s="273">
        <v>2</v>
      </c>
      <c r="J125" s="273">
        <v>55</v>
      </c>
      <c r="K125" s="273">
        <v>112</v>
      </c>
      <c r="L125" s="273" t="s">
        <v>815</v>
      </c>
      <c r="M125" s="273" t="s">
        <v>501</v>
      </c>
    </row>
    <row r="126" spans="2:13" x14ac:dyDescent="0.25">
      <c r="B126" s="273" t="s">
        <v>817</v>
      </c>
      <c r="C126" s="273" t="s">
        <v>629</v>
      </c>
      <c r="D126" s="273" t="s">
        <v>630</v>
      </c>
      <c r="E126" s="273" t="s">
        <v>766</v>
      </c>
      <c r="F126" s="277" t="s">
        <v>818</v>
      </c>
      <c r="G126" s="278" t="s">
        <v>633</v>
      </c>
      <c r="H126" s="278"/>
      <c r="I126" s="273">
        <v>2</v>
      </c>
      <c r="J126" s="273">
        <v>7</v>
      </c>
      <c r="K126" s="273">
        <v>21</v>
      </c>
      <c r="L126" s="273" t="s">
        <v>817</v>
      </c>
      <c r="M126" s="273" t="s">
        <v>501</v>
      </c>
    </row>
    <row r="127" spans="2:13" x14ac:dyDescent="0.25">
      <c r="B127" s="273" t="s">
        <v>819</v>
      </c>
      <c r="C127" s="273" t="s">
        <v>629</v>
      </c>
      <c r="D127" s="273" t="s">
        <v>630</v>
      </c>
      <c r="E127" s="273" t="s">
        <v>769</v>
      </c>
      <c r="F127" s="277" t="s">
        <v>820</v>
      </c>
      <c r="G127" s="278" t="s">
        <v>633</v>
      </c>
      <c r="H127" s="278"/>
      <c r="I127" s="273">
        <v>2</v>
      </c>
      <c r="J127" s="273">
        <v>9</v>
      </c>
      <c r="K127" s="273">
        <v>23</v>
      </c>
      <c r="L127" s="273" t="s">
        <v>819</v>
      </c>
      <c r="M127" s="273" t="s">
        <v>501</v>
      </c>
    </row>
    <row r="128" spans="2:13" x14ac:dyDescent="0.25">
      <c r="B128" s="273" t="s">
        <v>821</v>
      </c>
      <c r="C128" s="273" t="s">
        <v>629</v>
      </c>
      <c r="D128" s="273" t="s">
        <v>630</v>
      </c>
      <c r="E128" s="273" t="s">
        <v>822</v>
      </c>
      <c r="F128" s="277" t="s">
        <v>823</v>
      </c>
      <c r="G128" s="278" t="s">
        <v>559</v>
      </c>
      <c r="H128" s="278"/>
      <c r="I128" s="273">
        <v>3</v>
      </c>
      <c r="J128" s="273">
        <v>18</v>
      </c>
      <c r="K128" s="273">
        <v>60</v>
      </c>
      <c r="L128" s="273" t="s">
        <v>821</v>
      </c>
      <c r="M128" s="273" t="s">
        <v>501</v>
      </c>
    </row>
    <row r="129" spans="2:13" x14ac:dyDescent="0.25">
      <c r="B129" s="273" t="s">
        <v>824</v>
      </c>
      <c r="C129" s="273" t="s">
        <v>629</v>
      </c>
      <c r="D129" s="273" t="s">
        <v>630</v>
      </c>
      <c r="E129" s="273" t="s">
        <v>825</v>
      </c>
      <c r="F129" s="277" t="s">
        <v>826</v>
      </c>
      <c r="G129" s="278" t="s">
        <v>559</v>
      </c>
      <c r="H129" s="278"/>
      <c r="I129" s="273">
        <v>3</v>
      </c>
      <c r="J129" s="273">
        <v>26</v>
      </c>
      <c r="K129" s="273">
        <v>82</v>
      </c>
      <c r="L129" s="273" t="s">
        <v>824</v>
      </c>
      <c r="M129" s="273" t="s">
        <v>501</v>
      </c>
    </row>
    <row r="130" spans="2:13" x14ac:dyDescent="0.25">
      <c r="B130" s="273" t="s">
        <v>827</v>
      </c>
      <c r="C130" s="273" t="s">
        <v>629</v>
      </c>
      <c r="D130" s="273" t="s">
        <v>630</v>
      </c>
      <c r="E130" s="273" t="s">
        <v>828</v>
      </c>
      <c r="F130" s="277" t="s">
        <v>829</v>
      </c>
      <c r="G130" s="278" t="s">
        <v>559</v>
      </c>
      <c r="H130" s="278"/>
      <c r="I130" s="273">
        <v>3</v>
      </c>
      <c r="J130" s="273">
        <v>32</v>
      </c>
      <c r="K130" s="273">
        <v>114</v>
      </c>
      <c r="L130" s="273" t="s">
        <v>827</v>
      </c>
      <c r="M130" s="273" t="s">
        <v>501</v>
      </c>
    </row>
    <row r="131" spans="2:13" x14ac:dyDescent="0.25">
      <c r="B131" s="273" t="s">
        <v>830</v>
      </c>
      <c r="C131" s="273" t="s">
        <v>629</v>
      </c>
      <c r="D131" s="273" t="s">
        <v>630</v>
      </c>
      <c r="E131" s="273" t="s">
        <v>659</v>
      </c>
      <c r="F131" s="277" t="s">
        <v>831</v>
      </c>
      <c r="G131" s="278" t="s">
        <v>559</v>
      </c>
      <c r="H131" s="278"/>
      <c r="I131" s="273">
        <v>3</v>
      </c>
      <c r="J131" s="273">
        <v>42</v>
      </c>
      <c r="K131" s="273">
        <v>141</v>
      </c>
      <c r="L131" s="273" t="s">
        <v>830</v>
      </c>
      <c r="M131" s="273" t="s">
        <v>501</v>
      </c>
    </row>
    <row r="132" spans="2:13" x14ac:dyDescent="0.25">
      <c r="B132" s="273" t="s">
        <v>832</v>
      </c>
      <c r="C132" s="273" t="s">
        <v>629</v>
      </c>
      <c r="D132" s="273" t="s">
        <v>630</v>
      </c>
      <c r="E132" s="273" t="s">
        <v>665</v>
      </c>
      <c r="F132" s="277" t="s">
        <v>833</v>
      </c>
      <c r="G132" s="278" t="s">
        <v>633</v>
      </c>
      <c r="H132" s="278"/>
      <c r="I132" s="273">
        <v>3</v>
      </c>
      <c r="J132" s="273">
        <v>13</v>
      </c>
      <c r="K132" s="273">
        <v>48</v>
      </c>
      <c r="L132" s="273" t="s">
        <v>832</v>
      </c>
      <c r="M132" s="273" t="s">
        <v>501</v>
      </c>
    </row>
    <row r="133" spans="2:13" x14ac:dyDescent="0.25">
      <c r="B133" s="273" t="s">
        <v>834</v>
      </c>
      <c r="C133" s="273" t="s">
        <v>629</v>
      </c>
      <c r="D133" s="273" t="s">
        <v>630</v>
      </c>
      <c r="E133" s="273" t="s">
        <v>684</v>
      </c>
      <c r="F133" s="277" t="s">
        <v>835</v>
      </c>
      <c r="G133" s="278" t="s">
        <v>633</v>
      </c>
      <c r="H133" s="278"/>
      <c r="I133" s="273">
        <v>3</v>
      </c>
      <c r="J133" s="273">
        <v>22</v>
      </c>
      <c r="K133" s="273">
        <v>72</v>
      </c>
      <c r="L133" s="273" t="s">
        <v>834</v>
      </c>
      <c r="M133" s="273" t="s">
        <v>501</v>
      </c>
    </row>
    <row r="134" spans="2:13" x14ac:dyDescent="0.25">
      <c r="B134" s="273" t="s">
        <v>836</v>
      </c>
      <c r="C134" s="273" t="s">
        <v>629</v>
      </c>
      <c r="D134" s="273" t="s">
        <v>630</v>
      </c>
      <c r="E134" s="273" t="s">
        <v>690</v>
      </c>
      <c r="F134" s="277" t="s">
        <v>837</v>
      </c>
      <c r="G134" s="278" t="s">
        <v>633</v>
      </c>
      <c r="H134" s="278"/>
      <c r="I134" s="273">
        <v>3</v>
      </c>
      <c r="J134" s="273">
        <v>26</v>
      </c>
      <c r="K134" s="273">
        <v>99</v>
      </c>
      <c r="L134" s="273" t="s">
        <v>836</v>
      </c>
      <c r="M134" s="273" t="s">
        <v>501</v>
      </c>
    </row>
    <row r="135" spans="2:13" x14ac:dyDescent="0.25">
      <c r="B135" s="273" t="s">
        <v>838</v>
      </c>
      <c r="C135" s="273" t="s">
        <v>629</v>
      </c>
      <c r="D135" s="273" t="s">
        <v>630</v>
      </c>
      <c r="E135" s="273" t="s">
        <v>728</v>
      </c>
      <c r="F135" s="277" t="s">
        <v>839</v>
      </c>
      <c r="G135" s="278" t="s">
        <v>633</v>
      </c>
      <c r="H135" s="278"/>
      <c r="I135" s="273">
        <v>3</v>
      </c>
      <c r="J135" s="273">
        <v>13</v>
      </c>
      <c r="K135" s="273">
        <v>48</v>
      </c>
      <c r="L135" s="273" t="s">
        <v>838</v>
      </c>
      <c r="M135" s="273" t="s">
        <v>501</v>
      </c>
    </row>
    <row r="136" spans="2:13" x14ac:dyDescent="0.25">
      <c r="B136" s="273" t="s">
        <v>840</v>
      </c>
      <c r="C136" s="273" t="s">
        <v>629</v>
      </c>
      <c r="D136" s="273" t="s">
        <v>630</v>
      </c>
      <c r="E136" s="273" t="s">
        <v>749</v>
      </c>
      <c r="F136" s="277" t="s">
        <v>841</v>
      </c>
      <c r="G136" s="278" t="s">
        <v>633</v>
      </c>
      <c r="H136" s="278"/>
      <c r="I136" s="273">
        <v>3</v>
      </c>
      <c r="J136" s="273">
        <v>40</v>
      </c>
      <c r="K136" s="273">
        <v>133</v>
      </c>
      <c r="L136" s="273" t="s">
        <v>840</v>
      </c>
      <c r="M136" s="273" t="s">
        <v>501</v>
      </c>
    </row>
    <row r="137" spans="2:13" x14ac:dyDescent="0.25">
      <c r="B137" s="273" t="s">
        <v>842</v>
      </c>
      <c r="C137" s="273" t="s">
        <v>629</v>
      </c>
      <c r="D137" s="273" t="s">
        <v>630</v>
      </c>
      <c r="E137" s="273" t="s">
        <v>749</v>
      </c>
      <c r="F137" s="277" t="s">
        <v>843</v>
      </c>
      <c r="G137" s="278" t="s">
        <v>559</v>
      </c>
      <c r="H137" s="278"/>
      <c r="I137" s="273">
        <v>3</v>
      </c>
      <c r="J137" s="273">
        <v>40</v>
      </c>
      <c r="K137" s="273">
        <v>102</v>
      </c>
      <c r="L137" s="273" t="s">
        <v>842</v>
      </c>
      <c r="M137" s="273" t="s">
        <v>501</v>
      </c>
    </row>
    <row r="138" spans="2:13" x14ac:dyDescent="0.25">
      <c r="B138" s="273" t="s">
        <v>844</v>
      </c>
      <c r="C138" s="273" t="s">
        <v>629</v>
      </c>
      <c r="D138" s="273" t="s">
        <v>630</v>
      </c>
      <c r="E138" s="273" t="s">
        <v>749</v>
      </c>
      <c r="F138" s="277" t="s">
        <v>845</v>
      </c>
      <c r="G138" s="278" t="s">
        <v>559</v>
      </c>
      <c r="H138" s="278"/>
      <c r="I138" s="273">
        <v>3</v>
      </c>
      <c r="J138" s="273">
        <v>40</v>
      </c>
      <c r="K138" s="273">
        <v>105</v>
      </c>
      <c r="L138" s="273" t="s">
        <v>844</v>
      </c>
      <c r="M138" s="273" t="s">
        <v>501</v>
      </c>
    </row>
    <row r="139" spans="2:13" x14ac:dyDescent="0.25">
      <c r="B139" s="273" t="s">
        <v>846</v>
      </c>
      <c r="C139" s="273" t="s">
        <v>629</v>
      </c>
      <c r="D139" s="273" t="s">
        <v>630</v>
      </c>
      <c r="E139" s="273" t="s">
        <v>760</v>
      </c>
      <c r="F139" s="277" t="s">
        <v>847</v>
      </c>
      <c r="G139" s="278" t="s">
        <v>559</v>
      </c>
      <c r="H139" s="278"/>
      <c r="I139" s="273">
        <v>3</v>
      </c>
      <c r="J139" s="273">
        <v>50</v>
      </c>
      <c r="K139" s="273">
        <v>162</v>
      </c>
      <c r="L139" s="273" t="s">
        <v>846</v>
      </c>
      <c r="M139" s="273" t="s">
        <v>501</v>
      </c>
    </row>
    <row r="140" spans="2:13" x14ac:dyDescent="0.25">
      <c r="B140" s="273" t="s">
        <v>848</v>
      </c>
      <c r="C140" s="273" t="s">
        <v>629</v>
      </c>
      <c r="D140" s="273" t="s">
        <v>630</v>
      </c>
      <c r="E140" s="273" t="s">
        <v>763</v>
      </c>
      <c r="F140" s="277" t="s">
        <v>849</v>
      </c>
      <c r="G140" s="278" t="s">
        <v>559</v>
      </c>
      <c r="H140" s="278"/>
      <c r="I140" s="273">
        <v>3</v>
      </c>
      <c r="J140" s="273">
        <v>55</v>
      </c>
      <c r="K140" s="273">
        <v>168</v>
      </c>
      <c r="L140" s="273" t="s">
        <v>848</v>
      </c>
      <c r="M140" s="273" t="s">
        <v>501</v>
      </c>
    </row>
    <row r="141" spans="2:13" x14ac:dyDescent="0.25">
      <c r="B141" s="273" t="s">
        <v>850</v>
      </c>
      <c r="C141" s="273" t="s">
        <v>629</v>
      </c>
      <c r="D141" s="273" t="s">
        <v>630</v>
      </c>
      <c r="E141" s="273" t="s">
        <v>769</v>
      </c>
      <c r="F141" s="277" t="s">
        <v>851</v>
      </c>
      <c r="G141" s="278" t="s">
        <v>633</v>
      </c>
      <c r="H141" s="278"/>
      <c r="I141" s="273">
        <v>3</v>
      </c>
      <c r="J141" s="273">
        <v>9</v>
      </c>
      <c r="K141" s="273">
        <v>34</v>
      </c>
      <c r="L141" s="273" t="s">
        <v>850</v>
      </c>
      <c r="M141" s="273" t="s">
        <v>501</v>
      </c>
    </row>
    <row r="142" spans="2:13" x14ac:dyDescent="0.25">
      <c r="B142" s="273" t="s">
        <v>852</v>
      </c>
      <c r="C142" s="273" t="s">
        <v>629</v>
      </c>
      <c r="D142" s="273" t="s">
        <v>630</v>
      </c>
      <c r="E142" s="273" t="s">
        <v>825</v>
      </c>
      <c r="F142" s="277" t="s">
        <v>853</v>
      </c>
      <c r="G142" s="278" t="s">
        <v>559</v>
      </c>
      <c r="H142" s="278"/>
      <c r="I142" s="273">
        <v>4</v>
      </c>
      <c r="J142" s="273">
        <v>26</v>
      </c>
      <c r="K142" s="273">
        <v>108</v>
      </c>
      <c r="L142" s="273" t="s">
        <v>852</v>
      </c>
      <c r="M142" s="273" t="s">
        <v>501</v>
      </c>
    </row>
    <row r="143" spans="2:13" x14ac:dyDescent="0.25">
      <c r="B143" s="273" t="s">
        <v>854</v>
      </c>
      <c r="C143" s="273" t="s">
        <v>629</v>
      </c>
      <c r="D143" s="273" t="s">
        <v>630</v>
      </c>
      <c r="E143" s="273" t="s">
        <v>828</v>
      </c>
      <c r="F143" s="277" t="s">
        <v>855</v>
      </c>
      <c r="G143" s="278" t="s">
        <v>559</v>
      </c>
      <c r="H143" s="278"/>
      <c r="I143" s="273">
        <v>4</v>
      </c>
      <c r="J143" s="273">
        <v>32</v>
      </c>
      <c r="K143" s="273">
        <v>152</v>
      </c>
      <c r="L143" s="273" t="s">
        <v>854</v>
      </c>
      <c r="M143" s="273" t="s">
        <v>501</v>
      </c>
    </row>
    <row r="144" spans="2:13" x14ac:dyDescent="0.25">
      <c r="B144" s="273" t="s">
        <v>856</v>
      </c>
      <c r="C144" s="273" t="s">
        <v>629</v>
      </c>
      <c r="D144" s="273" t="s">
        <v>630</v>
      </c>
      <c r="E144" s="273" t="s">
        <v>659</v>
      </c>
      <c r="F144" s="277" t="s">
        <v>857</v>
      </c>
      <c r="G144" s="278" t="s">
        <v>559</v>
      </c>
      <c r="H144" s="278"/>
      <c r="I144" s="273">
        <v>4</v>
      </c>
      <c r="J144" s="273">
        <v>42</v>
      </c>
      <c r="K144" s="273">
        <v>188</v>
      </c>
      <c r="L144" s="273" t="s">
        <v>856</v>
      </c>
      <c r="M144" s="273" t="s">
        <v>501</v>
      </c>
    </row>
    <row r="145" spans="2:13" x14ac:dyDescent="0.25">
      <c r="B145" s="273" t="s">
        <v>858</v>
      </c>
      <c r="C145" s="273" t="s">
        <v>629</v>
      </c>
      <c r="D145" s="273" t="s">
        <v>630</v>
      </c>
      <c r="E145" s="273" t="s">
        <v>676</v>
      </c>
      <c r="F145" s="277" t="s">
        <v>859</v>
      </c>
      <c r="G145" s="278" t="s">
        <v>633</v>
      </c>
      <c r="H145" s="278"/>
      <c r="I145" s="279">
        <v>4</v>
      </c>
      <c r="J145" s="273">
        <v>18</v>
      </c>
      <c r="K145" s="273">
        <v>90</v>
      </c>
      <c r="L145" s="273" t="s">
        <v>858</v>
      </c>
      <c r="M145" s="273" t="s">
        <v>501</v>
      </c>
    </row>
    <row r="146" spans="2:13" x14ac:dyDescent="0.25">
      <c r="B146" s="273" t="s">
        <v>860</v>
      </c>
      <c r="C146" s="273" t="s">
        <v>629</v>
      </c>
      <c r="D146" s="273" t="s">
        <v>630</v>
      </c>
      <c r="E146" s="273" t="s">
        <v>734</v>
      </c>
      <c r="F146" s="277" t="s">
        <v>861</v>
      </c>
      <c r="G146" s="278" t="s">
        <v>633</v>
      </c>
      <c r="H146" s="278"/>
      <c r="I146" s="273">
        <v>4</v>
      </c>
      <c r="J146" s="273">
        <v>22</v>
      </c>
      <c r="K146" s="273">
        <v>108</v>
      </c>
      <c r="L146" s="273" t="s">
        <v>860</v>
      </c>
      <c r="M146" s="273" t="s">
        <v>501</v>
      </c>
    </row>
    <row r="147" spans="2:13" x14ac:dyDescent="0.25">
      <c r="B147" s="273" t="s">
        <v>862</v>
      </c>
      <c r="C147" s="273" t="s">
        <v>629</v>
      </c>
      <c r="D147" s="273" t="s">
        <v>630</v>
      </c>
      <c r="E147" s="273" t="s">
        <v>746</v>
      </c>
      <c r="F147" s="277" t="s">
        <v>863</v>
      </c>
      <c r="G147" s="278" t="s">
        <v>559</v>
      </c>
      <c r="H147" s="278"/>
      <c r="I147" s="273">
        <v>4</v>
      </c>
      <c r="J147" s="273">
        <v>36</v>
      </c>
      <c r="K147" s="273">
        <v>148</v>
      </c>
      <c r="L147" s="273" t="s">
        <v>862</v>
      </c>
      <c r="M147" s="273" t="s">
        <v>501</v>
      </c>
    </row>
    <row r="148" spans="2:13" x14ac:dyDescent="0.25">
      <c r="B148" s="273" t="s">
        <v>864</v>
      </c>
      <c r="C148" s="273" t="s">
        <v>629</v>
      </c>
      <c r="D148" s="273" t="s">
        <v>630</v>
      </c>
      <c r="E148" s="273" t="s">
        <v>749</v>
      </c>
      <c r="F148" s="277" t="s">
        <v>865</v>
      </c>
      <c r="G148" s="278" t="s">
        <v>559</v>
      </c>
      <c r="H148" s="278"/>
      <c r="I148" s="273">
        <v>4</v>
      </c>
      <c r="J148" s="273">
        <v>40</v>
      </c>
      <c r="K148" s="273">
        <v>144</v>
      </c>
      <c r="L148" s="273" t="s">
        <v>864</v>
      </c>
      <c r="M148" s="273" t="s">
        <v>501</v>
      </c>
    </row>
    <row r="149" spans="2:13" x14ac:dyDescent="0.25">
      <c r="B149" s="273" t="s">
        <v>866</v>
      </c>
      <c r="C149" s="273" t="s">
        <v>629</v>
      </c>
      <c r="D149" s="273" t="s">
        <v>630</v>
      </c>
      <c r="E149" s="273" t="s">
        <v>760</v>
      </c>
      <c r="F149" s="277" t="s">
        <v>867</v>
      </c>
      <c r="G149" s="278" t="s">
        <v>559</v>
      </c>
      <c r="H149" s="278"/>
      <c r="I149" s="273">
        <v>4</v>
      </c>
      <c r="J149" s="273">
        <v>50</v>
      </c>
      <c r="K149" s="273">
        <v>216</v>
      </c>
      <c r="L149" s="273" t="s">
        <v>866</v>
      </c>
      <c r="M149" s="273" t="s">
        <v>501</v>
      </c>
    </row>
    <row r="150" spans="2:13" x14ac:dyDescent="0.25">
      <c r="B150" s="273" t="s">
        <v>868</v>
      </c>
      <c r="C150" s="273" t="s">
        <v>629</v>
      </c>
      <c r="D150" s="273" t="s">
        <v>630</v>
      </c>
      <c r="E150" s="273" t="s">
        <v>763</v>
      </c>
      <c r="F150" s="277" t="s">
        <v>869</v>
      </c>
      <c r="G150" s="278" t="s">
        <v>559</v>
      </c>
      <c r="H150" s="278"/>
      <c r="I150" s="273">
        <v>4</v>
      </c>
      <c r="J150" s="273">
        <v>55</v>
      </c>
      <c r="K150" s="273">
        <v>224</v>
      </c>
      <c r="L150" s="273" t="s">
        <v>868</v>
      </c>
      <c r="M150" s="273" t="s">
        <v>501</v>
      </c>
    </row>
    <row r="151" spans="2:13" x14ac:dyDescent="0.25">
      <c r="B151" s="273" t="s">
        <v>870</v>
      </c>
      <c r="C151" s="273" t="s">
        <v>629</v>
      </c>
      <c r="D151" s="273" t="s">
        <v>630</v>
      </c>
      <c r="E151" s="273" t="s">
        <v>749</v>
      </c>
      <c r="F151" s="277" t="s">
        <v>871</v>
      </c>
      <c r="G151" s="278" t="s">
        <v>559</v>
      </c>
      <c r="H151" s="278"/>
      <c r="I151" s="273">
        <v>5</v>
      </c>
      <c r="J151" s="273">
        <v>40</v>
      </c>
      <c r="K151" s="273">
        <v>190</v>
      </c>
      <c r="L151" s="273" t="s">
        <v>870</v>
      </c>
      <c r="M151" s="273" t="s">
        <v>501</v>
      </c>
    </row>
    <row r="152" spans="2:13" x14ac:dyDescent="0.25">
      <c r="B152" s="273" t="s">
        <v>872</v>
      </c>
      <c r="C152" s="273" t="s">
        <v>629</v>
      </c>
      <c r="D152" s="273" t="s">
        <v>630</v>
      </c>
      <c r="E152" s="273" t="s">
        <v>760</v>
      </c>
      <c r="F152" s="277" t="s">
        <v>873</v>
      </c>
      <c r="G152" s="278" t="s">
        <v>559</v>
      </c>
      <c r="H152" s="278"/>
      <c r="I152" s="273">
        <v>5</v>
      </c>
      <c r="J152" s="273">
        <v>50</v>
      </c>
      <c r="K152" s="273">
        <v>270</v>
      </c>
      <c r="L152" s="273" t="s">
        <v>872</v>
      </c>
      <c r="M152" s="273" t="s">
        <v>501</v>
      </c>
    </row>
    <row r="153" spans="2:13" x14ac:dyDescent="0.25">
      <c r="B153" s="273" t="s">
        <v>874</v>
      </c>
      <c r="C153" s="273" t="s">
        <v>629</v>
      </c>
      <c r="D153" s="273" t="s">
        <v>630</v>
      </c>
      <c r="E153" s="273" t="s">
        <v>763</v>
      </c>
      <c r="F153" s="277" t="s">
        <v>875</v>
      </c>
      <c r="G153" s="278" t="s">
        <v>559</v>
      </c>
      <c r="H153" s="278"/>
      <c r="I153" s="273">
        <v>5</v>
      </c>
      <c r="J153" s="273">
        <v>55</v>
      </c>
      <c r="K153" s="273">
        <v>280</v>
      </c>
      <c r="L153" s="273" t="s">
        <v>874</v>
      </c>
      <c r="M153" s="273" t="s">
        <v>501</v>
      </c>
    </row>
    <row r="154" spans="2:13" x14ac:dyDescent="0.25">
      <c r="B154" s="273" t="s">
        <v>876</v>
      </c>
      <c r="C154" s="273" t="s">
        <v>629</v>
      </c>
      <c r="D154" s="273" t="s">
        <v>630</v>
      </c>
      <c r="E154" s="273" t="s">
        <v>825</v>
      </c>
      <c r="F154" s="277" t="s">
        <v>877</v>
      </c>
      <c r="G154" s="278" t="s">
        <v>559</v>
      </c>
      <c r="H154" s="278"/>
      <c r="I154" s="273">
        <v>6</v>
      </c>
      <c r="J154" s="273">
        <v>26</v>
      </c>
      <c r="K154" s="273">
        <v>162</v>
      </c>
      <c r="L154" s="273" t="s">
        <v>876</v>
      </c>
      <c r="M154" s="273" t="s">
        <v>501</v>
      </c>
    </row>
    <row r="155" spans="2:13" x14ac:dyDescent="0.25">
      <c r="B155" s="273" t="s">
        <v>878</v>
      </c>
      <c r="C155" s="273" t="s">
        <v>629</v>
      </c>
      <c r="D155" s="273" t="s">
        <v>630</v>
      </c>
      <c r="E155" s="273" t="s">
        <v>828</v>
      </c>
      <c r="F155" s="277" t="s">
        <v>879</v>
      </c>
      <c r="G155" s="278" t="s">
        <v>559</v>
      </c>
      <c r="H155" s="278"/>
      <c r="I155" s="273">
        <v>6</v>
      </c>
      <c r="J155" s="273">
        <v>32</v>
      </c>
      <c r="K155" s="273">
        <v>228</v>
      </c>
      <c r="L155" s="273" t="s">
        <v>878</v>
      </c>
      <c r="M155" s="273" t="s">
        <v>501</v>
      </c>
    </row>
    <row r="156" spans="2:13" x14ac:dyDescent="0.25">
      <c r="B156" s="273" t="s">
        <v>880</v>
      </c>
      <c r="C156" s="273" t="s">
        <v>629</v>
      </c>
      <c r="D156" s="273" t="s">
        <v>630</v>
      </c>
      <c r="E156" s="273" t="s">
        <v>659</v>
      </c>
      <c r="F156" s="277" t="s">
        <v>881</v>
      </c>
      <c r="G156" s="278" t="s">
        <v>559</v>
      </c>
      <c r="H156" s="278"/>
      <c r="I156" s="273">
        <v>6</v>
      </c>
      <c r="J156" s="273">
        <v>42</v>
      </c>
      <c r="K156" s="273">
        <v>282</v>
      </c>
      <c r="L156" s="273" t="s">
        <v>880</v>
      </c>
      <c r="M156" s="273" t="s">
        <v>501</v>
      </c>
    </row>
    <row r="157" spans="2:13" x14ac:dyDescent="0.25">
      <c r="B157" s="273" t="s">
        <v>882</v>
      </c>
      <c r="C157" s="273" t="s">
        <v>629</v>
      </c>
      <c r="D157" s="273" t="s">
        <v>630</v>
      </c>
      <c r="E157" s="273" t="s">
        <v>690</v>
      </c>
      <c r="F157" s="277" t="s">
        <v>883</v>
      </c>
      <c r="G157" s="278" t="s">
        <v>559</v>
      </c>
      <c r="H157" s="278"/>
      <c r="I157" s="273">
        <v>6</v>
      </c>
      <c r="J157" s="273">
        <v>26</v>
      </c>
      <c r="K157" s="273">
        <v>150</v>
      </c>
      <c r="L157" s="273" t="s">
        <v>882</v>
      </c>
      <c r="M157" s="273" t="s">
        <v>501</v>
      </c>
    </row>
    <row r="158" spans="2:13" x14ac:dyDescent="0.25">
      <c r="B158" s="273" t="s">
        <v>884</v>
      </c>
      <c r="C158" s="273" t="s">
        <v>629</v>
      </c>
      <c r="D158" s="273" t="s">
        <v>630</v>
      </c>
      <c r="E158" s="273" t="s">
        <v>743</v>
      </c>
      <c r="F158" s="277" t="s">
        <v>885</v>
      </c>
      <c r="G158" s="278" t="s">
        <v>559</v>
      </c>
      <c r="H158" s="278"/>
      <c r="I158" s="273">
        <v>6</v>
      </c>
      <c r="J158" s="273">
        <v>32</v>
      </c>
      <c r="K158" s="273">
        <v>186</v>
      </c>
      <c r="L158" s="273" t="s">
        <v>884</v>
      </c>
      <c r="M158" s="273" t="s">
        <v>501</v>
      </c>
    </row>
    <row r="159" spans="2:13" x14ac:dyDescent="0.25">
      <c r="B159" s="273" t="s">
        <v>886</v>
      </c>
      <c r="C159" s="273" t="s">
        <v>629</v>
      </c>
      <c r="D159" s="273" t="s">
        <v>630</v>
      </c>
      <c r="E159" s="273" t="s">
        <v>746</v>
      </c>
      <c r="F159" s="277" t="s">
        <v>887</v>
      </c>
      <c r="G159" s="278" t="s">
        <v>559</v>
      </c>
      <c r="H159" s="278"/>
      <c r="I159" s="273">
        <v>6</v>
      </c>
      <c r="J159" s="273">
        <v>36</v>
      </c>
      <c r="K159" s="273">
        <v>212</v>
      </c>
      <c r="L159" s="273" t="s">
        <v>886</v>
      </c>
      <c r="M159" s="273" t="s">
        <v>501</v>
      </c>
    </row>
    <row r="160" spans="2:13" x14ac:dyDescent="0.25">
      <c r="B160" s="273" t="s">
        <v>888</v>
      </c>
      <c r="C160" s="273" t="s">
        <v>629</v>
      </c>
      <c r="D160" s="273" t="s">
        <v>630</v>
      </c>
      <c r="E160" s="273" t="s">
        <v>746</v>
      </c>
      <c r="F160" s="277" t="s">
        <v>889</v>
      </c>
      <c r="G160" s="278" t="s">
        <v>559</v>
      </c>
      <c r="H160" s="278"/>
      <c r="I160" s="273">
        <v>6</v>
      </c>
      <c r="J160" s="273">
        <v>36</v>
      </c>
      <c r="K160" s="273">
        <v>198</v>
      </c>
      <c r="L160" s="273" t="s">
        <v>888</v>
      </c>
      <c r="M160" s="273" t="s">
        <v>501</v>
      </c>
    </row>
    <row r="161" spans="2:13" x14ac:dyDescent="0.25">
      <c r="B161" s="273" t="s">
        <v>890</v>
      </c>
      <c r="C161" s="273" t="s">
        <v>629</v>
      </c>
      <c r="D161" s="273" t="s">
        <v>630</v>
      </c>
      <c r="E161" s="273" t="s">
        <v>746</v>
      </c>
      <c r="F161" s="277" t="s">
        <v>891</v>
      </c>
      <c r="G161" s="278" t="s">
        <v>559</v>
      </c>
      <c r="H161" s="278"/>
      <c r="I161" s="273">
        <v>6</v>
      </c>
      <c r="J161" s="273">
        <v>36</v>
      </c>
      <c r="K161" s="273">
        <v>210</v>
      </c>
      <c r="L161" s="273" t="s">
        <v>892</v>
      </c>
      <c r="M161" s="273" t="s">
        <v>501</v>
      </c>
    </row>
    <row r="162" spans="2:13" x14ac:dyDescent="0.25">
      <c r="B162" s="273" t="s">
        <v>893</v>
      </c>
      <c r="C162" s="273" t="s">
        <v>629</v>
      </c>
      <c r="D162" s="273" t="s">
        <v>630</v>
      </c>
      <c r="E162" s="273" t="s">
        <v>749</v>
      </c>
      <c r="F162" s="277" t="s">
        <v>894</v>
      </c>
      <c r="G162" s="278" t="s">
        <v>559</v>
      </c>
      <c r="H162" s="278"/>
      <c r="I162" s="273">
        <v>6</v>
      </c>
      <c r="J162" s="273">
        <v>40</v>
      </c>
      <c r="K162" s="273">
        <v>204</v>
      </c>
      <c r="L162" s="273" t="s">
        <v>893</v>
      </c>
      <c r="M162" s="273" t="s">
        <v>501</v>
      </c>
    </row>
    <row r="163" spans="2:13" x14ac:dyDescent="0.25">
      <c r="B163" s="273" t="s">
        <v>895</v>
      </c>
      <c r="C163" s="273" t="s">
        <v>629</v>
      </c>
      <c r="D163" s="273" t="s">
        <v>630</v>
      </c>
      <c r="E163" s="273" t="s">
        <v>749</v>
      </c>
      <c r="F163" s="277" t="s">
        <v>896</v>
      </c>
      <c r="G163" s="278" t="s">
        <v>559</v>
      </c>
      <c r="H163" s="278"/>
      <c r="I163" s="273">
        <v>6</v>
      </c>
      <c r="J163" s="273">
        <v>40</v>
      </c>
      <c r="K163" s="273">
        <v>220</v>
      </c>
      <c r="L163" s="273" t="s">
        <v>895</v>
      </c>
      <c r="M163" s="273" t="s">
        <v>501</v>
      </c>
    </row>
    <row r="164" spans="2:13" x14ac:dyDescent="0.25">
      <c r="B164" s="273" t="s">
        <v>897</v>
      </c>
      <c r="C164" s="273" t="s">
        <v>629</v>
      </c>
      <c r="D164" s="273" t="s">
        <v>630</v>
      </c>
      <c r="E164" s="273" t="s">
        <v>749</v>
      </c>
      <c r="F164" s="277" t="s">
        <v>898</v>
      </c>
      <c r="G164" s="278" t="s">
        <v>559</v>
      </c>
      <c r="H164" s="278"/>
      <c r="I164" s="273">
        <v>6</v>
      </c>
      <c r="J164" s="273">
        <v>40</v>
      </c>
      <c r="K164" s="273">
        <v>233</v>
      </c>
      <c r="L164" s="273" t="s">
        <v>899</v>
      </c>
      <c r="M164" s="273" t="s">
        <v>501</v>
      </c>
    </row>
    <row r="165" spans="2:13" x14ac:dyDescent="0.25">
      <c r="B165" s="273" t="s">
        <v>900</v>
      </c>
      <c r="C165" s="273" t="s">
        <v>629</v>
      </c>
      <c r="D165" s="273" t="s">
        <v>630</v>
      </c>
      <c r="E165" s="273" t="s">
        <v>760</v>
      </c>
      <c r="F165" s="277" t="s">
        <v>901</v>
      </c>
      <c r="G165" s="278" t="s">
        <v>559</v>
      </c>
      <c r="H165" s="278"/>
      <c r="I165" s="273">
        <v>6</v>
      </c>
      <c r="J165" s="273">
        <v>50</v>
      </c>
      <c r="K165" s="273">
        <v>324</v>
      </c>
      <c r="L165" s="273" t="s">
        <v>900</v>
      </c>
      <c r="M165" s="273" t="s">
        <v>501</v>
      </c>
    </row>
    <row r="166" spans="2:13" x14ac:dyDescent="0.25">
      <c r="B166" s="273" t="s">
        <v>902</v>
      </c>
      <c r="C166" s="273" t="s">
        <v>629</v>
      </c>
      <c r="D166" s="273" t="s">
        <v>630</v>
      </c>
      <c r="E166" s="273" t="s">
        <v>763</v>
      </c>
      <c r="F166" s="277" t="s">
        <v>903</v>
      </c>
      <c r="G166" s="278" t="s">
        <v>559</v>
      </c>
      <c r="H166" s="278"/>
      <c r="I166" s="273">
        <v>6</v>
      </c>
      <c r="J166" s="273">
        <v>55</v>
      </c>
      <c r="K166" s="273">
        <v>336</v>
      </c>
      <c r="L166" s="273" t="s">
        <v>902</v>
      </c>
      <c r="M166" s="273" t="s">
        <v>501</v>
      </c>
    </row>
    <row r="167" spans="2:13" x14ac:dyDescent="0.25">
      <c r="B167" s="273" t="s">
        <v>904</v>
      </c>
      <c r="C167" s="273" t="s">
        <v>629</v>
      </c>
      <c r="D167" s="273" t="s">
        <v>630</v>
      </c>
      <c r="E167" s="273" t="s">
        <v>763</v>
      </c>
      <c r="F167" s="277" t="s">
        <v>905</v>
      </c>
      <c r="G167" s="278" t="s">
        <v>559</v>
      </c>
      <c r="H167" s="278"/>
      <c r="I167" s="273">
        <v>6</v>
      </c>
      <c r="J167" s="273">
        <v>55</v>
      </c>
      <c r="K167" s="273">
        <v>352</v>
      </c>
      <c r="L167" s="273" t="s">
        <v>904</v>
      </c>
      <c r="M167" s="273" t="s">
        <v>501</v>
      </c>
    </row>
    <row r="168" spans="2:13" x14ac:dyDescent="0.25">
      <c r="B168" s="273" t="s">
        <v>906</v>
      </c>
      <c r="C168" s="273" t="s">
        <v>629</v>
      </c>
      <c r="D168" s="273" t="s">
        <v>630</v>
      </c>
      <c r="E168" s="273" t="s">
        <v>763</v>
      </c>
      <c r="F168" s="277" t="s">
        <v>907</v>
      </c>
      <c r="G168" s="278" t="s">
        <v>559</v>
      </c>
      <c r="H168" s="278"/>
      <c r="I168" s="273">
        <v>6</v>
      </c>
      <c r="J168" s="273">
        <v>55</v>
      </c>
      <c r="K168" s="273">
        <v>373</v>
      </c>
      <c r="L168" s="273" t="s">
        <v>908</v>
      </c>
      <c r="M168" s="273" t="s">
        <v>501</v>
      </c>
    </row>
    <row r="169" spans="2:13" x14ac:dyDescent="0.25">
      <c r="B169" s="273" t="s">
        <v>909</v>
      </c>
      <c r="C169" s="273" t="s">
        <v>629</v>
      </c>
      <c r="D169" s="273" t="s">
        <v>630</v>
      </c>
      <c r="E169" s="273" t="s">
        <v>825</v>
      </c>
      <c r="F169" s="277" t="s">
        <v>910</v>
      </c>
      <c r="G169" s="278" t="s">
        <v>559</v>
      </c>
      <c r="H169" s="278"/>
      <c r="I169" s="273">
        <v>8</v>
      </c>
      <c r="J169" s="273">
        <v>26</v>
      </c>
      <c r="K169" s="273">
        <v>216</v>
      </c>
      <c r="L169" s="273" t="s">
        <v>909</v>
      </c>
      <c r="M169" s="273" t="s">
        <v>501</v>
      </c>
    </row>
    <row r="170" spans="2:13" x14ac:dyDescent="0.25">
      <c r="B170" s="273" t="s">
        <v>911</v>
      </c>
      <c r="C170" s="273" t="s">
        <v>629</v>
      </c>
      <c r="D170" s="273" t="s">
        <v>630</v>
      </c>
      <c r="E170" s="273" t="s">
        <v>828</v>
      </c>
      <c r="F170" s="277" t="s">
        <v>912</v>
      </c>
      <c r="G170" s="278" t="s">
        <v>559</v>
      </c>
      <c r="H170" s="278"/>
      <c r="I170" s="273">
        <v>8</v>
      </c>
      <c r="J170" s="273">
        <v>32</v>
      </c>
      <c r="K170" s="273">
        <v>304</v>
      </c>
      <c r="L170" s="273" t="s">
        <v>911</v>
      </c>
      <c r="M170" s="273" t="s">
        <v>501</v>
      </c>
    </row>
    <row r="171" spans="2:13" x14ac:dyDescent="0.25">
      <c r="B171" s="273" t="s">
        <v>913</v>
      </c>
      <c r="C171" s="273" t="s">
        <v>629</v>
      </c>
      <c r="D171" s="273" t="s">
        <v>630</v>
      </c>
      <c r="E171" s="273" t="s">
        <v>659</v>
      </c>
      <c r="F171" s="277" t="s">
        <v>914</v>
      </c>
      <c r="G171" s="278" t="s">
        <v>559</v>
      </c>
      <c r="H171" s="278"/>
      <c r="I171" s="273">
        <v>8</v>
      </c>
      <c r="J171" s="273">
        <v>42</v>
      </c>
      <c r="K171" s="273">
        <v>376</v>
      </c>
      <c r="L171" s="273" t="s">
        <v>913</v>
      </c>
      <c r="M171" s="273" t="s">
        <v>501</v>
      </c>
    </row>
    <row r="172" spans="2:13" x14ac:dyDescent="0.25">
      <c r="B172" s="273" t="s">
        <v>915</v>
      </c>
      <c r="C172" s="273" t="s">
        <v>629</v>
      </c>
      <c r="D172" s="273" t="s">
        <v>630</v>
      </c>
      <c r="E172" s="273" t="s">
        <v>746</v>
      </c>
      <c r="F172" s="277" t="s">
        <v>916</v>
      </c>
      <c r="G172" s="278" t="s">
        <v>559</v>
      </c>
      <c r="H172" s="278"/>
      <c r="I172" s="273">
        <v>8</v>
      </c>
      <c r="J172" s="273">
        <v>36</v>
      </c>
      <c r="K172" s="273">
        <v>296</v>
      </c>
      <c r="L172" s="273" t="s">
        <v>915</v>
      </c>
      <c r="M172" s="273" t="s">
        <v>501</v>
      </c>
    </row>
    <row r="173" spans="2:13" x14ac:dyDescent="0.25">
      <c r="B173" s="273" t="s">
        <v>917</v>
      </c>
      <c r="C173" s="273" t="s">
        <v>629</v>
      </c>
      <c r="D173" s="273" t="s">
        <v>630</v>
      </c>
      <c r="E173" s="273" t="s">
        <v>746</v>
      </c>
      <c r="F173" s="277" t="s">
        <v>918</v>
      </c>
      <c r="G173" s="278" t="s">
        <v>559</v>
      </c>
      <c r="H173" s="278"/>
      <c r="I173" s="273">
        <v>8</v>
      </c>
      <c r="J173" s="273">
        <v>36</v>
      </c>
      <c r="K173" s="273">
        <v>270</v>
      </c>
      <c r="L173" s="273" t="s">
        <v>917</v>
      </c>
      <c r="M173" s="273" t="s">
        <v>501</v>
      </c>
    </row>
    <row r="174" spans="2:13" x14ac:dyDescent="0.25">
      <c r="B174" s="273" t="s">
        <v>919</v>
      </c>
      <c r="C174" s="273" t="s">
        <v>629</v>
      </c>
      <c r="D174" s="273" t="s">
        <v>630</v>
      </c>
      <c r="E174" s="273" t="s">
        <v>746</v>
      </c>
      <c r="F174" s="277" t="s">
        <v>920</v>
      </c>
      <c r="G174" s="278" t="s">
        <v>559</v>
      </c>
      <c r="H174" s="278"/>
      <c r="I174" s="273">
        <v>8</v>
      </c>
      <c r="J174" s="273">
        <v>36</v>
      </c>
      <c r="K174" s="273">
        <v>286</v>
      </c>
      <c r="L174" s="273" t="s">
        <v>921</v>
      </c>
      <c r="M174" s="273" t="s">
        <v>501</v>
      </c>
    </row>
    <row r="175" spans="2:13" x14ac:dyDescent="0.25">
      <c r="B175" s="273" t="s">
        <v>922</v>
      </c>
      <c r="C175" s="273" t="s">
        <v>629</v>
      </c>
      <c r="D175" s="273" t="s">
        <v>630</v>
      </c>
      <c r="E175" s="273" t="s">
        <v>749</v>
      </c>
      <c r="F175" s="277" t="s">
        <v>923</v>
      </c>
      <c r="G175" s="278" t="s">
        <v>559</v>
      </c>
      <c r="H175" s="278"/>
      <c r="I175" s="273">
        <v>8</v>
      </c>
      <c r="J175" s="273">
        <v>40</v>
      </c>
      <c r="K175" s="273">
        <v>288</v>
      </c>
      <c r="L175" s="273" t="s">
        <v>922</v>
      </c>
      <c r="M175" s="273" t="s">
        <v>501</v>
      </c>
    </row>
    <row r="176" spans="2:13" x14ac:dyDescent="0.25">
      <c r="B176" s="273" t="s">
        <v>924</v>
      </c>
      <c r="C176" s="273" t="s">
        <v>629</v>
      </c>
      <c r="D176" s="273" t="s">
        <v>630</v>
      </c>
      <c r="E176" s="273" t="s">
        <v>749</v>
      </c>
      <c r="F176" s="277" t="s">
        <v>925</v>
      </c>
      <c r="G176" s="278" t="s">
        <v>559</v>
      </c>
      <c r="H176" s="278"/>
      <c r="I176" s="273">
        <v>8</v>
      </c>
      <c r="J176" s="273">
        <v>40</v>
      </c>
      <c r="K176" s="273">
        <v>300</v>
      </c>
      <c r="L176" s="273" t="s">
        <v>924</v>
      </c>
      <c r="M176" s="273" t="s">
        <v>501</v>
      </c>
    </row>
    <row r="177" spans="2:13" x14ac:dyDescent="0.25">
      <c r="B177" s="273" t="s">
        <v>926</v>
      </c>
      <c r="C177" s="273" t="s">
        <v>629</v>
      </c>
      <c r="D177" s="273" t="s">
        <v>630</v>
      </c>
      <c r="E177" s="273" t="s">
        <v>749</v>
      </c>
      <c r="F177" s="277" t="s">
        <v>927</v>
      </c>
      <c r="G177" s="278" t="s">
        <v>559</v>
      </c>
      <c r="H177" s="278"/>
      <c r="I177" s="273">
        <v>8</v>
      </c>
      <c r="J177" s="273">
        <v>40</v>
      </c>
      <c r="K177" s="273">
        <v>340</v>
      </c>
      <c r="L177" s="273" t="s">
        <v>928</v>
      </c>
      <c r="M177" s="273" t="s">
        <v>501</v>
      </c>
    </row>
    <row r="178" spans="2:13" x14ac:dyDescent="0.25">
      <c r="B178" s="273" t="s">
        <v>929</v>
      </c>
      <c r="C178" s="273" t="s">
        <v>629</v>
      </c>
      <c r="D178" s="273" t="s">
        <v>630</v>
      </c>
      <c r="E178" s="273" t="s">
        <v>760</v>
      </c>
      <c r="F178" s="277" t="s">
        <v>930</v>
      </c>
      <c r="G178" s="278" t="s">
        <v>559</v>
      </c>
      <c r="H178" s="278"/>
      <c r="I178" s="273">
        <v>8</v>
      </c>
      <c r="J178" s="273">
        <v>50</v>
      </c>
      <c r="K178" s="273">
        <v>432</v>
      </c>
      <c r="L178" s="273" t="s">
        <v>929</v>
      </c>
      <c r="M178" s="273" t="s">
        <v>501</v>
      </c>
    </row>
    <row r="179" spans="2:13" x14ac:dyDescent="0.25">
      <c r="B179" s="273" t="s">
        <v>931</v>
      </c>
      <c r="C179" s="273" t="s">
        <v>629</v>
      </c>
      <c r="D179" s="273" t="s">
        <v>630</v>
      </c>
      <c r="E179" s="273" t="s">
        <v>763</v>
      </c>
      <c r="F179" s="277" t="s">
        <v>932</v>
      </c>
      <c r="G179" s="278" t="s">
        <v>559</v>
      </c>
      <c r="H179" s="278"/>
      <c r="I179" s="273">
        <v>8</v>
      </c>
      <c r="J179" s="273">
        <v>55</v>
      </c>
      <c r="K179" s="273">
        <v>448</v>
      </c>
      <c r="L179" s="273" t="s">
        <v>931</v>
      </c>
      <c r="M179" s="273" t="s">
        <v>501</v>
      </c>
    </row>
    <row r="180" spans="2:13" x14ac:dyDescent="0.25">
      <c r="B180" s="273" t="s">
        <v>933</v>
      </c>
      <c r="C180" s="273" t="s">
        <v>629</v>
      </c>
      <c r="D180" s="273" t="s">
        <v>630</v>
      </c>
      <c r="E180" s="273" t="s">
        <v>763</v>
      </c>
      <c r="F180" s="277" t="s">
        <v>934</v>
      </c>
      <c r="G180" s="278" t="s">
        <v>559</v>
      </c>
      <c r="H180" s="278"/>
      <c r="I180" s="273">
        <v>8</v>
      </c>
      <c r="J180" s="273">
        <v>55</v>
      </c>
      <c r="K180" s="273">
        <v>468</v>
      </c>
      <c r="L180" s="273" t="s">
        <v>933</v>
      </c>
      <c r="M180" s="273" t="s">
        <v>501</v>
      </c>
    </row>
    <row r="181" spans="2:13" x14ac:dyDescent="0.25">
      <c r="B181" s="273" t="s">
        <v>935</v>
      </c>
      <c r="C181" s="273" t="s">
        <v>629</v>
      </c>
      <c r="D181" s="273" t="s">
        <v>630</v>
      </c>
      <c r="E181" s="273" t="s">
        <v>763</v>
      </c>
      <c r="F181" s="277" t="s">
        <v>936</v>
      </c>
      <c r="G181" s="278" t="s">
        <v>559</v>
      </c>
      <c r="H181" s="278"/>
      <c r="I181" s="273">
        <v>8</v>
      </c>
      <c r="J181" s="273">
        <v>55</v>
      </c>
      <c r="K181" s="273">
        <v>496</v>
      </c>
      <c r="L181" s="273" t="s">
        <v>937</v>
      </c>
      <c r="M181" s="273" t="s">
        <v>501</v>
      </c>
    </row>
    <row r="182" spans="2:13" x14ac:dyDescent="0.25">
      <c r="B182" s="273" t="s">
        <v>938</v>
      </c>
      <c r="C182" s="273" t="s">
        <v>629</v>
      </c>
      <c r="D182" s="273" t="s">
        <v>630</v>
      </c>
      <c r="E182" s="273" t="s">
        <v>746</v>
      </c>
      <c r="F182" s="277" t="s">
        <v>939</v>
      </c>
      <c r="G182" s="278" t="s">
        <v>559</v>
      </c>
      <c r="H182" s="278"/>
      <c r="I182" s="273">
        <v>9</v>
      </c>
      <c r="J182" s="273">
        <v>36</v>
      </c>
      <c r="K182" s="273">
        <v>318</v>
      </c>
      <c r="L182" s="273" t="s">
        <v>938</v>
      </c>
      <c r="M182" s="273" t="s">
        <v>501</v>
      </c>
    </row>
    <row r="183" spans="2:13" x14ac:dyDescent="0.25">
      <c r="B183" s="273" t="s">
        <v>940</v>
      </c>
      <c r="C183" s="273" t="s">
        <v>629</v>
      </c>
      <c r="D183" s="273" t="s">
        <v>630</v>
      </c>
      <c r="E183" s="273" t="s">
        <v>749</v>
      </c>
      <c r="F183" s="277" t="s">
        <v>941</v>
      </c>
      <c r="G183" s="278" t="s">
        <v>559</v>
      </c>
      <c r="H183" s="278"/>
      <c r="I183" s="273">
        <v>9</v>
      </c>
      <c r="J183" s="273">
        <v>40</v>
      </c>
      <c r="K183" s="273">
        <v>306</v>
      </c>
      <c r="L183" s="273" t="s">
        <v>940</v>
      </c>
      <c r="M183" s="273" t="s">
        <v>501</v>
      </c>
    </row>
    <row r="184" spans="2:13" x14ac:dyDescent="0.25">
      <c r="B184" s="273" t="s">
        <v>942</v>
      </c>
      <c r="C184" s="273" t="s">
        <v>629</v>
      </c>
      <c r="D184" s="273" t="s">
        <v>630</v>
      </c>
      <c r="E184" s="273" t="s">
        <v>760</v>
      </c>
      <c r="F184" s="277" t="s">
        <v>943</v>
      </c>
      <c r="G184" s="278" t="s">
        <v>559</v>
      </c>
      <c r="H184" s="278"/>
      <c r="I184" s="273">
        <v>9</v>
      </c>
      <c r="J184" s="273">
        <v>50</v>
      </c>
      <c r="K184" s="273">
        <v>486</v>
      </c>
      <c r="L184" s="273" t="s">
        <v>942</v>
      </c>
      <c r="M184" s="273" t="s">
        <v>501</v>
      </c>
    </row>
    <row r="185" spans="2:13" x14ac:dyDescent="0.25">
      <c r="B185" s="273" t="s">
        <v>944</v>
      </c>
      <c r="C185" s="273" t="s">
        <v>629</v>
      </c>
      <c r="D185" s="273" t="s">
        <v>630</v>
      </c>
      <c r="E185" s="273" t="s">
        <v>763</v>
      </c>
      <c r="F185" s="277" t="s">
        <v>945</v>
      </c>
      <c r="G185" s="278" t="s">
        <v>559</v>
      </c>
      <c r="H185" s="278"/>
      <c r="I185" s="273">
        <v>9</v>
      </c>
      <c r="J185" s="273">
        <v>55</v>
      </c>
      <c r="K185" s="273">
        <v>504</v>
      </c>
      <c r="L185" s="273" t="s">
        <v>944</v>
      </c>
      <c r="M185" s="273" t="s">
        <v>501</v>
      </c>
    </row>
    <row r="186" spans="2:13" x14ac:dyDescent="0.25">
      <c r="B186" s="273" t="s">
        <v>946</v>
      </c>
      <c r="C186" s="273" t="s">
        <v>629</v>
      </c>
      <c r="D186" s="273" t="s">
        <v>630</v>
      </c>
      <c r="E186" s="273" t="s">
        <v>749</v>
      </c>
      <c r="F186" s="277" t="s">
        <v>947</v>
      </c>
      <c r="G186" s="278" t="s">
        <v>559</v>
      </c>
      <c r="H186" s="278"/>
      <c r="I186" s="273">
        <v>12</v>
      </c>
      <c r="J186" s="273">
        <v>40</v>
      </c>
      <c r="K186" s="273">
        <v>408</v>
      </c>
      <c r="L186" s="273" t="s">
        <v>946</v>
      </c>
      <c r="M186" s="273" t="s">
        <v>501</v>
      </c>
    </row>
    <row r="187" spans="2:13" x14ac:dyDescent="0.25">
      <c r="B187" s="273" t="s">
        <v>948</v>
      </c>
      <c r="C187" s="273" t="s">
        <v>629</v>
      </c>
      <c r="D187" s="273" t="s">
        <v>630</v>
      </c>
      <c r="E187" s="273" t="s">
        <v>760</v>
      </c>
      <c r="F187" s="277" t="s">
        <v>949</v>
      </c>
      <c r="G187" s="278" t="s">
        <v>559</v>
      </c>
      <c r="H187" s="278"/>
      <c r="I187" s="273">
        <v>12</v>
      </c>
      <c r="J187" s="273">
        <v>50</v>
      </c>
      <c r="K187" s="273">
        <v>648</v>
      </c>
      <c r="L187" s="273" t="s">
        <v>948</v>
      </c>
      <c r="M187" s="273" t="s">
        <v>501</v>
      </c>
    </row>
    <row r="188" spans="2:13" x14ac:dyDescent="0.25">
      <c r="B188" s="273" t="s">
        <v>950</v>
      </c>
      <c r="C188" s="273" t="s">
        <v>629</v>
      </c>
      <c r="D188" s="273" t="s">
        <v>630</v>
      </c>
      <c r="E188" s="273" t="s">
        <v>763</v>
      </c>
      <c r="F188" s="277" t="s">
        <v>951</v>
      </c>
      <c r="G188" s="278" t="s">
        <v>559</v>
      </c>
      <c r="H188" s="278"/>
      <c r="I188" s="273">
        <v>12</v>
      </c>
      <c r="J188" s="273">
        <v>55</v>
      </c>
      <c r="K188" s="273">
        <v>672</v>
      </c>
      <c r="L188" s="273" t="s">
        <v>950</v>
      </c>
      <c r="M188" s="273" t="s">
        <v>501</v>
      </c>
    </row>
    <row r="189" spans="2:13" x14ac:dyDescent="0.25">
      <c r="B189" s="273" t="s">
        <v>952</v>
      </c>
      <c r="C189" s="273" t="s">
        <v>629</v>
      </c>
      <c r="D189" s="273" t="s">
        <v>953</v>
      </c>
      <c r="E189" s="273" t="s">
        <v>954</v>
      </c>
      <c r="F189" s="277" t="s">
        <v>955</v>
      </c>
      <c r="G189" s="278" t="s">
        <v>559</v>
      </c>
      <c r="H189" s="278"/>
      <c r="I189" s="273">
        <v>1</v>
      </c>
      <c r="J189" s="273">
        <v>7</v>
      </c>
      <c r="K189" s="273">
        <v>7</v>
      </c>
      <c r="L189" s="273" t="s">
        <v>952</v>
      </c>
      <c r="M189" s="273" t="s">
        <v>500</v>
      </c>
    </row>
    <row r="190" spans="2:13" x14ac:dyDescent="0.25">
      <c r="B190" s="273" t="s">
        <v>956</v>
      </c>
      <c r="C190" s="273" t="s">
        <v>629</v>
      </c>
      <c r="D190" s="273" t="s">
        <v>953</v>
      </c>
      <c r="E190" s="273" t="s">
        <v>957</v>
      </c>
      <c r="F190" s="277" t="s">
        <v>958</v>
      </c>
      <c r="G190" s="278" t="s">
        <v>559</v>
      </c>
      <c r="H190" s="278"/>
      <c r="I190" s="273">
        <v>1</v>
      </c>
      <c r="J190" s="273">
        <v>9</v>
      </c>
      <c r="K190" s="273">
        <v>9</v>
      </c>
      <c r="L190" s="273" t="s">
        <v>956</v>
      </c>
      <c r="M190" s="273" t="s">
        <v>500</v>
      </c>
    </row>
    <row r="191" spans="2:13" x14ac:dyDescent="0.25">
      <c r="B191" s="273" t="s">
        <v>959</v>
      </c>
      <c r="C191" s="273" t="s">
        <v>629</v>
      </c>
      <c r="D191" s="273" t="s">
        <v>953</v>
      </c>
      <c r="E191" s="273" t="s">
        <v>960</v>
      </c>
      <c r="F191" s="277" t="s">
        <v>961</v>
      </c>
      <c r="G191" s="278" t="s">
        <v>559</v>
      </c>
      <c r="H191" s="278"/>
      <c r="I191" s="273">
        <v>1</v>
      </c>
      <c r="J191" s="273">
        <v>11</v>
      </c>
      <c r="K191" s="273">
        <v>11</v>
      </c>
      <c r="L191" s="273" t="s">
        <v>959</v>
      </c>
      <c r="M191" s="273" t="s">
        <v>500</v>
      </c>
    </row>
    <row r="192" spans="2:13" x14ac:dyDescent="0.25">
      <c r="B192" s="273" t="s">
        <v>962</v>
      </c>
      <c r="C192" s="273" t="s">
        <v>629</v>
      </c>
      <c r="D192" s="273" t="s">
        <v>953</v>
      </c>
      <c r="E192" s="273" t="s">
        <v>963</v>
      </c>
      <c r="F192" s="277" t="s">
        <v>964</v>
      </c>
      <c r="G192" s="278" t="s">
        <v>559</v>
      </c>
      <c r="H192" s="278"/>
      <c r="I192" s="273">
        <v>1</v>
      </c>
      <c r="J192" s="273">
        <v>12</v>
      </c>
      <c r="K192" s="273">
        <v>12</v>
      </c>
      <c r="L192" s="273" t="s">
        <v>962</v>
      </c>
      <c r="M192" s="273" t="s">
        <v>500</v>
      </c>
    </row>
    <row r="193" spans="2:13" x14ac:dyDescent="0.25">
      <c r="B193" s="273" t="s">
        <v>965</v>
      </c>
      <c r="C193" s="273" t="s">
        <v>629</v>
      </c>
      <c r="D193" s="273" t="s">
        <v>953</v>
      </c>
      <c r="E193" s="273" t="s">
        <v>966</v>
      </c>
      <c r="F193" s="277" t="s">
        <v>967</v>
      </c>
      <c r="G193" s="278" t="s">
        <v>559</v>
      </c>
      <c r="H193" s="278"/>
      <c r="I193" s="273">
        <v>1</v>
      </c>
      <c r="J193" s="273">
        <v>13</v>
      </c>
      <c r="K193" s="273">
        <v>13</v>
      </c>
      <c r="L193" s="273" t="s">
        <v>965</v>
      </c>
      <c r="M193" s="273" t="s">
        <v>500</v>
      </c>
    </row>
    <row r="194" spans="2:13" x14ac:dyDescent="0.25">
      <c r="B194" s="273" t="s">
        <v>968</v>
      </c>
      <c r="C194" s="273" t="s">
        <v>629</v>
      </c>
      <c r="D194" s="273" t="s">
        <v>953</v>
      </c>
      <c r="E194" s="273" t="s">
        <v>969</v>
      </c>
      <c r="F194" s="277" t="s">
        <v>970</v>
      </c>
      <c r="G194" s="278" t="s">
        <v>559</v>
      </c>
      <c r="H194" s="278"/>
      <c r="I194" s="273">
        <v>1</v>
      </c>
      <c r="J194" s="273">
        <v>14</v>
      </c>
      <c r="K194" s="273">
        <v>14</v>
      </c>
      <c r="L194" s="273" t="s">
        <v>968</v>
      </c>
      <c r="M194" s="273" t="s">
        <v>500</v>
      </c>
    </row>
    <row r="195" spans="2:13" x14ac:dyDescent="0.25">
      <c r="B195" s="273" t="s">
        <v>971</v>
      </c>
      <c r="C195" s="273" t="s">
        <v>629</v>
      </c>
      <c r="D195" s="273" t="s">
        <v>953</v>
      </c>
      <c r="E195" s="273" t="s">
        <v>972</v>
      </c>
      <c r="F195" s="277" t="s">
        <v>973</v>
      </c>
      <c r="G195" s="278" t="s">
        <v>559</v>
      </c>
      <c r="H195" s="278"/>
      <c r="I195" s="273">
        <v>1</v>
      </c>
      <c r="J195" s="273">
        <v>15</v>
      </c>
      <c r="K195" s="273">
        <v>15</v>
      </c>
      <c r="L195" s="273" t="s">
        <v>971</v>
      </c>
      <c r="M195" s="273" t="s">
        <v>500</v>
      </c>
    </row>
    <row r="196" spans="2:13" x14ac:dyDescent="0.25">
      <c r="B196" s="273" t="s">
        <v>974</v>
      </c>
      <c r="C196" s="273" t="s">
        <v>629</v>
      </c>
      <c r="D196" s="273" t="s">
        <v>953</v>
      </c>
      <c r="E196" s="273" t="s">
        <v>975</v>
      </c>
      <c r="F196" s="277" t="s">
        <v>976</v>
      </c>
      <c r="G196" s="278" t="s">
        <v>559</v>
      </c>
      <c r="H196" s="278"/>
      <c r="I196" s="273">
        <v>1</v>
      </c>
      <c r="J196" s="273">
        <v>16</v>
      </c>
      <c r="K196" s="273">
        <v>16</v>
      </c>
      <c r="L196" s="273" t="s">
        <v>974</v>
      </c>
      <c r="M196" s="273" t="s">
        <v>500</v>
      </c>
    </row>
    <row r="197" spans="2:13" x14ac:dyDescent="0.25">
      <c r="B197" s="273" t="s">
        <v>977</v>
      </c>
      <c r="C197" s="273" t="s">
        <v>629</v>
      </c>
      <c r="D197" s="273" t="s">
        <v>953</v>
      </c>
      <c r="E197" s="273" t="s">
        <v>978</v>
      </c>
      <c r="F197" s="277" t="s">
        <v>979</v>
      </c>
      <c r="G197" s="278" t="s">
        <v>559</v>
      </c>
      <c r="H197" s="278"/>
      <c r="I197" s="273">
        <v>1</v>
      </c>
      <c r="J197" s="273">
        <v>17</v>
      </c>
      <c r="K197" s="273">
        <v>17</v>
      </c>
      <c r="L197" s="273" t="s">
        <v>977</v>
      </c>
      <c r="M197" s="273" t="s">
        <v>500</v>
      </c>
    </row>
    <row r="198" spans="2:13" x14ac:dyDescent="0.25">
      <c r="B198" s="273" t="s">
        <v>980</v>
      </c>
      <c r="C198" s="273" t="s">
        <v>629</v>
      </c>
      <c r="D198" s="273" t="s">
        <v>953</v>
      </c>
      <c r="E198" s="273" t="s">
        <v>981</v>
      </c>
      <c r="F198" s="277" t="s">
        <v>982</v>
      </c>
      <c r="G198" s="278" t="s">
        <v>559</v>
      </c>
      <c r="H198" s="278"/>
      <c r="I198" s="273">
        <v>1</v>
      </c>
      <c r="J198" s="273">
        <v>18</v>
      </c>
      <c r="K198" s="273">
        <v>18</v>
      </c>
      <c r="L198" s="273" t="s">
        <v>980</v>
      </c>
      <c r="M198" s="273" t="s">
        <v>500</v>
      </c>
    </row>
    <row r="199" spans="2:13" x14ac:dyDescent="0.25">
      <c r="B199" s="273" t="s">
        <v>983</v>
      </c>
      <c r="C199" s="273" t="s">
        <v>629</v>
      </c>
      <c r="D199" s="273" t="s">
        <v>953</v>
      </c>
      <c r="E199" s="273" t="s">
        <v>984</v>
      </c>
      <c r="F199" s="277" t="s">
        <v>985</v>
      </c>
      <c r="G199" s="278" t="s">
        <v>559</v>
      </c>
      <c r="H199" s="278"/>
      <c r="I199" s="273">
        <v>1</v>
      </c>
      <c r="J199" s="273">
        <v>20</v>
      </c>
      <c r="K199" s="273">
        <v>20</v>
      </c>
      <c r="L199" s="273" t="s">
        <v>983</v>
      </c>
      <c r="M199" s="273" t="s">
        <v>500</v>
      </c>
    </row>
    <row r="200" spans="2:13" x14ac:dyDescent="0.25">
      <c r="B200" s="273" t="s">
        <v>986</v>
      </c>
      <c r="C200" s="273" t="s">
        <v>629</v>
      </c>
      <c r="D200" s="273" t="s">
        <v>953</v>
      </c>
      <c r="E200" s="273" t="s">
        <v>987</v>
      </c>
      <c r="F200" s="277" t="s">
        <v>988</v>
      </c>
      <c r="G200" s="278" t="s">
        <v>559</v>
      </c>
      <c r="H200" s="278"/>
      <c r="I200" s="273">
        <v>1</v>
      </c>
      <c r="J200" s="273">
        <v>23</v>
      </c>
      <c r="K200" s="273">
        <v>23</v>
      </c>
      <c r="L200" s="273" t="s">
        <v>986</v>
      </c>
      <c r="M200" s="273" t="s">
        <v>500</v>
      </c>
    </row>
    <row r="201" spans="2:13" x14ac:dyDescent="0.25">
      <c r="B201" s="273" t="s">
        <v>989</v>
      </c>
      <c r="C201" s="273" t="s">
        <v>629</v>
      </c>
      <c r="D201" s="273" t="s">
        <v>953</v>
      </c>
      <c r="E201" s="273" t="s">
        <v>990</v>
      </c>
      <c r="F201" s="277" t="s">
        <v>991</v>
      </c>
      <c r="G201" s="278" t="s">
        <v>559</v>
      </c>
      <c r="H201" s="278"/>
      <c r="I201" s="273">
        <v>1</v>
      </c>
      <c r="J201" s="273">
        <v>26</v>
      </c>
      <c r="K201" s="273">
        <v>26</v>
      </c>
      <c r="L201" s="273" t="s">
        <v>989</v>
      </c>
      <c r="M201" s="273" t="s">
        <v>500</v>
      </c>
    </row>
    <row r="202" spans="2:13" x14ac:dyDescent="0.25">
      <c r="B202" s="273" t="s">
        <v>992</v>
      </c>
      <c r="C202" s="273" t="s">
        <v>629</v>
      </c>
      <c r="D202" s="273" t="s">
        <v>953</v>
      </c>
      <c r="E202" s="273" t="s">
        <v>993</v>
      </c>
      <c r="F202" s="277" t="s">
        <v>994</v>
      </c>
      <c r="G202" s="278" t="s">
        <v>559</v>
      </c>
      <c r="H202" s="278"/>
      <c r="I202" s="273">
        <v>1</v>
      </c>
      <c r="J202" s="273">
        <v>30</v>
      </c>
      <c r="K202" s="273">
        <v>30</v>
      </c>
      <c r="L202" s="273" t="s">
        <v>992</v>
      </c>
      <c r="M202" s="273" t="s">
        <v>500</v>
      </c>
    </row>
    <row r="203" spans="2:13" x14ac:dyDescent="0.25">
      <c r="B203" s="273" t="s">
        <v>995</v>
      </c>
      <c r="C203" s="273" t="s">
        <v>629</v>
      </c>
      <c r="D203" s="273" t="s">
        <v>996</v>
      </c>
      <c r="E203" s="273" t="s">
        <v>997</v>
      </c>
      <c r="F203" s="277" t="s">
        <v>998</v>
      </c>
      <c r="G203" s="278" t="s">
        <v>559</v>
      </c>
      <c r="H203" s="278"/>
      <c r="I203" s="273">
        <v>1</v>
      </c>
      <c r="J203" s="273">
        <v>1.5</v>
      </c>
      <c r="K203" s="273">
        <v>1.5</v>
      </c>
      <c r="L203" s="273" t="s">
        <v>995</v>
      </c>
      <c r="M203" s="273" t="s">
        <v>500</v>
      </c>
    </row>
    <row r="204" spans="2:13" x14ac:dyDescent="0.25">
      <c r="B204" s="273" t="s">
        <v>999</v>
      </c>
      <c r="C204" s="273" t="s">
        <v>629</v>
      </c>
      <c r="D204" s="273" t="s">
        <v>996</v>
      </c>
      <c r="E204" s="273" t="s">
        <v>1000</v>
      </c>
      <c r="F204" s="277" t="s">
        <v>1001</v>
      </c>
      <c r="G204" s="278" t="s">
        <v>559</v>
      </c>
      <c r="H204" s="278"/>
      <c r="I204" s="273">
        <v>1</v>
      </c>
      <c r="J204" s="273">
        <v>3</v>
      </c>
      <c r="K204" s="273">
        <v>3</v>
      </c>
      <c r="L204" s="273" t="s">
        <v>999</v>
      </c>
      <c r="M204" s="273" t="s">
        <v>500</v>
      </c>
    </row>
    <row r="205" spans="2:13" x14ac:dyDescent="0.25">
      <c r="B205" s="273" t="s">
        <v>1002</v>
      </c>
      <c r="C205" s="273" t="s">
        <v>629</v>
      </c>
      <c r="D205" s="273" t="s">
        <v>996</v>
      </c>
      <c r="E205" s="273" t="s">
        <v>1003</v>
      </c>
      <c r="F205" s="277" t="s">
        <v>1004</v>
      </c>
      <c r="G205" s="278" t="s">
        <v>559</v>
      </c>
      <c r="H205" s="278"/>
      <c r="I205" s="273">
        <v>1</v>
      </c>
      <c r="J205" s="273">
        <v>5</v>
      </c>
      <c r="K205" s="273">
        <v>5</v>
      </c>
      <c r="L205" s="273" t="s">
        <v>1002</v>
      </c>
      <c r="M205" s="273" t="s">
        <v>500</v>
      </c>
    </row>
    <row r="206" spans="2:13" x14ac:dyDescent="0.25">
      <c r="B206" s="273" t="s">
        <v>1005</v>
      </c>
      <c r="C206" s="273" t="s">
        <v>629</v>
      </c>
      <c r="D206" s="273" t="s">
        <v>996</v>
      </c>
      <c r="E206" s="273" t="s">
        <v>1006</v>
      </c>
      <c r="F206" s="277" t="s">
        <v>1007</v>
      </c>
      <c r="G206" s="278" t="s">
        <v>559</v>
      </c>
      <c r="H206" s="278"/>
      <c r="I206" s="273">
        <v>1</v>
      </c>
      <c r="J206" s="273">
        <v>8</v>
      </c>
      <c r="K206" s="273">
        <v>8</v>
      </c>
      <c r="L206" s="273" t="s">
        <v>1005</v>
      </c>
      <c r="M206" s="273" t="s">
        <v>500</v>
      </c>
    </row>
    <row r="207" spans="2:13" x14ac:dyDescent="0.25">
      <c r="B207" s="273" t="s">
        <v>1008</v>
      </c>
      <c r="C207" s="273" t="s">
        <v>1009</v>
      </c>
      <c r="D207" s="273" t="s">
        <v>1010</v>
      </c>
      <c r="E207" s="273" t="s">
        <v>1011</v>
      </c>
      <c r="F207" s="277" t="s">
        <v>1012</v>
      </c>
      <c r="G207" s="278" t="s">
        <v>633</v>
      </c>
      <c r="H207" s="278">
        <f t="shared" ref="H207:H270" si="10">MID(B207,2,1)*12</f>
        <v>12</v>
      </c>
      <c r="I207" s="273">
        <v>1</v>
      </c>
      <c r="J207" s="273">
        <v>15</v>
      </c>
      <c r="K207" s="273">
        <v>19</v>
      </c>
      <c r="L207" s="273" t="s">
        <v>1008</v>
      </c>
      <c r="M207" s="273" t="s">
        <v>501</v>
      </c>
    </row>
    <row r="208" spans="2:13" x14ac:dyDescent="0.25">
      <c r="B208" s="273" t="s">
        <v>1013</v>
      </c>
      <c r="C208" s="273" t="s">
        <v>1009</v>
      </c>
      <c r="D208" s="273" t="s">
        <v>1010</v>
      </c>
      <c r="E208" s="273" t="s">
        <v>1011</v>
      </c>
      <c r="F208" s="277" t="s">
        <v>1014</v>
      </c>
      <c r="G208" s="278" t="s">
        <v>633</v>
      </c>
      <c r="H208" s="278">
        <f t="shared" si="10"/>
        <v>12</v>
      </c>
      <c r="I208" s="273">
        <v>2</v>
      </c>
      <c r="J208" s="273">
        <v>15</v>
      </c>
      <c r="K208" s="273">
        <v>36</v>
      </c>
      <c r="L208" s="273" t="s">
        <v>1013</v>
      </c>
      <c r="M208" s="273" t="s">
        <v>501</v>
      </c>
    </row>
    <row r="209" spans="2:13" x14ac:dyDescent="0.25">
      <c r="B209" s="273" t="s">
        <v>1015</v>
      </c>
      <c r="C209" s="273" t="s">
        <v>1009</v>
      </c>
      <c r="D209" s="273" t="s">
        <v>1010</v>
      </c>
      <c r="E209" s="273" t="s">
        <v>1016</v>
      </c>
      <c r="F209" s="277" t="s">
        <v>1017</v>
      </c>
      <c r="G209" s="278" t="s">
        <v>559</v>
      </c>
      <c r="H209" s="278">
        <f t="shared" si="10"/>
        <v>24</v>
      </c>
      <c r="I209" s="273">
        <v>1</v>
      </c>
      <c r="J209" s="273">
        <v>17</v>
      </c>
      <c r="K209" s="273">
        <v>20</v>
      </c>
      <c r="L209" s="273" t="s">
        <v>1015</v>
      </c>
      <c r="M209" s="273" t="s">
        <v>501</v>
      </c>
    </row>
    <row r="210" spans="2:13" x14ac:dyDescent="0.25">
      <c r="B210" s="273" t="s">
        <v>1018</v>
      </c>
      <c r="C210" s="273" t="s">
        <v>1009</v>
      </c>
      <c r="D210" s="273" t="s">
        <v>1010</v>
      </c>
      <c r="E210" s="273" t="s">
        <v>1016</v>
      </c>
      <c r="F210" s="277" t="s">
        <v>1019</v>
      </c>
      <c r="G210" s="278" t="s">
        <v>559</v>
      </c>
      <c r="H210" s="278">
        <f t="shared" si="10"/>
        <v>24</v>
      </c>
      <c r="I210" s="273">
        <v>1</v>
      </c>
      <c r="J210" s="273">
        <v>17</v>
      </c>
      <c r="K210" s="273">
        <v>17</v>
      </c>
      <c r="L210" s="273" t="s">
        <v>1018</v>
      </c>
      <c r="M210" s="273" t="s">
        <v>501</v>
      </c>
    </row>
    <row r="211" spans="2:13" x14ac:dyDescent="0.25">
      <c r="B211" s="273" t="s">
        <v>1020</v>
      </c>
      <c r="C211" s="273" t="s">
        <v>1009</v>
      </c>
      <c r="D211" s="273" t="s">
        <v>1010</v>
      </c>
      <c r="E211" s="273" t="s">
        <v>1016</v>
      </c>
      <c r="F211" s="277" t="s">
        <v>1021</v>
      </c>
      <c r="G211" s="278" t="s">
        <v>559</v>
      </c>
      <c r="H211" s="278">
        <f t="shared" si="10"/>
        <v>24</v>
      </c>
      <c r="I211" s="273">
        <v>1</v>
      </c>
      <c r="J211" s="273">
        <v>17</v>
      </c>
      <c r="K211" s="273">
        <v>15</v>
      </c>
      <c r="L211" s="273" t="s">
        <v>1020</v>
      </c>
      <c r="M211" s="273" t="s">
        <v>501</v>
      </c>
    </row>
    <row r="212" spans="2:13" x14ac:dyDescent="0.25">
      <c r="B212" s="273" t="s">
        <v>1022</v>
      </c>
      <c r="C212" s="273" t="s">
        <v>1009</v>
      </c>
      <c r="D212" s="273" t="s">
        <v>1010</v>
      </c>
      <c r="E212" s="273" t="s">
        <v>1016</v>
      </c>
      <c r="F212" s="277" t="s">
        <v>1023</v>
      </c>
      <c r="G212" s="278" t="s">
        <v>559</v>
      </c>
      <c r="H212" s="278">
        <f t="shared" si="10"/>
        <v>24</v>
      </c>
      <c r="I212" s="273">
        <v>1</v>
      </c>
      <c r="J212" s="273">
        <v>17</v>
      </c>
      <c r="K212" s="273">
        <v>16</v>
      </c>
      <c r="L212" s="273" t="s">
        <v>1022</v>
      </c>
      <c r="M212" s="273" t="s">
        <v>501</v>
      </c>
    </row>
    <row r="213" spans="2:13" x14ac:dyDescent="0.25">
      <c r="B213" s="273" t="s">
        <v>1024</v>
      </c>
      <c r="C213" s="273" t="s">
        <v>1009</v>
      </c>
      <c r="D213" s="273" t="s">
        <v>1010</v>
      </c>
      <c r="E213" s="273" t="s">
        <v>1016</v>
      </c>
      <c r="F213" s="277" t="s">
        <v>1025</v>
      </c>
      <c r="G213" s="278" t="s">
        <v>559</v>
      </c>
      <c r="H213" s="278">
        <f t="shared" si="10"/>
        <v>24</v>
      </c>
      <c r="I213" s="273">
        <v>1</v>
      </c>
      <c r="J213" s="273">
        <v>17</v>
      </c>
      <c r="K213" s="273">
        <v>14</v>
      </c>
      <c r="L213" s="273" t="s">
        <v>1024</v>
      </c>
      <c r="M213" s="273" t="s">
        <v>501</v>
      </c>
    </row>
    <row r="214" spans="2:13" x14ac:dyDescent="0.25">
      <c r="B214" s="273" t="s">
        <v>1026</v>
      </c>
      <c r="C214" s="273" t="s">
        <v>1009</v>
      </c>
      <c r="D214" s="273" t="s">
        <v>1010</v>
      </c>
      <c r="E214" s="273" t="s">
        <v>1016</v>
      </c>
      <c r="F214" s="277" t="s">
        <v>1027</v>
      </c>
      <c r="G214" s="278" t="s">
        <v>559</v>
      </c>
      <c r="H214" s="278">
        <f t="shared" si="10"/>
        <v>24</v>
      </c>
      <c r="I214" s="273">
        <v>1</v>
      </c>
      <c r="J214" s="273">
        <v>17</v>
      </c>
      <c r="K214" s="273">
        <v>15</v>
      </c>
      <c r="L214" s="273" t="s">
        <v>1026</v>
      </c>
      <c r="M214" s="273" t="s">
        <v>501</v>
      </c>
    </row>
    <row r="215" spans="2:13" x14ac:dyDescent="0.25">
      <c r="B215" s="273" t="s">
        <v>1028</v>
      </c>
      <c r="C215" s="273" t="s">
        <v>1009</v>
      </c>
      <c r="D215" s="273" t="s">
        <v>1010</v>
      </c>
      <c r="E215" s="273" t="s">
        <v>1016</v>
      </c>
      <c r="F215" s="277" t="s">
        <v>1029</v>
      </c>
      <c r="G215" s="278" t="s">
        <v>559</v>
      </c>
      <c r="H215" s="278">
        <f t="shared" si="10"/>
        <v>24</v>
      </c>
      <c r="I215" s="273">
        <v>1</v>
      </c>
      <c r="J215" s="273">
        <v>17</v>
      </c>
      <c r="K215" s="273">
        <v>14</v>
      </c>
      <c r="L215" s="273" t="s">
        <v>1028</v>
      </c>
      <c r="M215" s="273" t="s">
        <v>501</v>
      </c>
    </row>
    <row r="216" spans="2:13" x14ac:dyDescent="0.25">
      <c r="B216" s="273" t="s">
        <v>1030</v>
      </c>
      <c r="C216" s="273" t="s">
        <v>1009</v>
      </c>
      <c r="D216" s="273" t="s">
        <v>1010</v>
      </c>
      <c r="E216" s="273" t="s">
        <v>1016</v>
      </c>
      <c r="F216" s="277" t="s">
        <v>1031</v>
      </c>
      <c r="G216" s="278" t="s">
        <v>559</v>
      </c>
      <c r="H216" s="278">
        <f t="shared" si="10"/>
        <v>24</v>
      </c>
      <c r="I216" s="273">
        <v>1</v>
      </c>
      <c r="J216" s="273">
        <v>17</v>
      </c>
      <c r="K216" s="273">
        <v>16</v>
      </c>
      <c r="L216" s="273" t="s">
        <v>1030</v>
      </c>
      <c r="M216" s="273" t="s">
        <v>501</v>
      </c>
    </row>
    <row r="217" spans="2:13" x14ac:dyDescent="0.25">
      <c r="B217" s="273" t="s">
        <v>1032</v>
      </c>
      <c r="C217" s="273" t="s">
        <v>1009</v>
      </c>
      <c r="D217" s="273" t="s">
        <v>1010</v>
      </c>
      <c r="E217" s="273" t="s">
        <v>1016</v>
      </c>
      <c r="F217" s="277" t="s">
        <v>1033</v>
      </c>
      <c r="G217" s="278" t="s">
        <v>559</v>
      </c>
      <c r="H217" s="278">
        <f t="shared" si="10"/>
        <v>24</v>
      </c>
      <c r="I217" s="273">
        <v>1</v>
      </c>
      <c r="J217" s="273">
        <v>17</v>
      </c>
      <c r="K217" s="273">
        <v>16</v>
      </c>
      <c r="L217" s="273" t="s">
        <v>1032</v>
      </c>
      <c r="M217" s="273" t="s">
        <v>501</v>
      </c>
    </row>
    <row r="218" spans="2:13" x14ac:dyDescent="0.25">
      <c r="B218" s="273" t="s">
        <v>1034</v>
      </c>
      <c r="C218" s="273" t="s">
        <v>1009</v>
      </c>
      <c r="D218" s="273" t="s">
        <v>1010</v>
      </c>
      <c r="E218" s="273" t="s">
        <v>1016</v>
      </c>
      <c r="F218" s="277" t="s">
        <v>1035</v>
      </c>
      <c r="G218" s="278" t="s">
        <v>559</v>
      </c>
      <c r="H218" s="278">
        <f t="shared" si="10"/>
        <v>24</v>
      </c>
      <c r="I218" s="273">
        <v>1</v>
      </c>
      <c r="J218" s="273">
        <v>17</v>
      </c>
      <c r="K218" s="273">
        <v>17</v>
      </c>
      <c r="L218" s="273" t="s">
        <v>1034</v>
      </c>
      <c r="M218" s="273" t="s">
        <v>501</v>
      </c>
    </row>
    <row r="219" spans="2:13" x14ac:dyDescent="0.25">
      <c r="B219" s="273" t="s">
        <v>1036</v>
      </c>
      <c r="C219" s="273" t="s">
        <v>1009</v>
      </c>
      <c r="D219" s="273" t="s">
        <v>1010</v>
      </c>
      <c r="E219" s="273" t="s">
        <v>1016</v>
      </c>
      <c r="F219" s="277" t="s">
        <v>1037</v>
      </c>
      <c r="G219" s="278" t="s">
        <v>559</v>
      </c>
      <c r="H219" s="278">
        <f t="shared" si="10"/>
        <v>24</v>
      </c>
      <c r="I219" s="273">
        <v>1</v>
      </c>
      <c r="J219" s="273">
        <v>17</v>
      </c>
      <c r="K219" s="273">
        <v>17</v>
      </c>
      <c r="L219" s="273" t="s">
        <v>1036</v>
      </c>
      <c r="M219" s="273" t="s">
        <v>501</v>
      </c>
    </row>
    <row r="220" spans="2:13" x14ac:dyDescent="0.25">
      <c r="B220" s="273" t="s">
        <v>1038</v>
      </c>
      <c r="C220" s="273" t="s">
        <v>1009</v>
      </c>
      <c r="D220" s="273" t="s">
        <v>1010</v>
      </c>
      <c r="E220" s="273" t="s">
        <v>1016</v>
      </c>
      <c r="F220" s="277" t="s">
        <v>1039</v>
      </c>
      <c r="G220" s="278" t="s">
        <v>559</v>
      </c>
      <c r="H220" s="278">
        <f t="shared" si="10"/>
        <v>24</v>
      </c>
      <c r="I220" s="273">
        <v>1</v>
      </c>
      <c r="J220" s="273">
        <v>17</v>
      </c>
      <c r="K220" s="273">
        <v>15</v>
      </c>
      <c r="L220" s="273" t="s">
        <v>1038</v>
      </c>
      <c r="M220" s="273" t="s">
        <v>501</v>
      </c>
    </row>
    <row r="221" spans="2:13" x14ac:dyDescent="0.25">
      <c r="B221" s="273" t="s">
        <v>1040</v>
      </c>
      <c r="C221" s="273" t="s">
        <v>1009</v>
      </c>
      <c r="D221" s="273" t="s">
        <v>1010</v>
      </c>
      <c r="E221" s="273" t="s">
        <v>1016</v>
      </c>
      <c r="F221" s="277" t="s">
        <v>1041</v>
      </c>
      <c r="G221" s="278" t="s">
        <v>633</v>
      </c>
      <c r="H221" s="278">
        <f t="shared" si="10"/>
        <v>24</v>
      </c>
      <c r="I221" s="273">
        <v>1</v>
      </c>
      <c r="J221" s="273">
        <v>17</v>
      </c>
      <c r="K221" s="273">
        <v>24</v>
      </c>
      <c r="L221" s="273" t="s">
        <v>1040</v>
      </c>
      <c r="M221" s="273" t="s">
        <v>501</v>
      </c>
    </row>
    <row r="222" spans="2:13" x14ac:dyDescent="0.25">
      <c r="B222" s="273" t="s">
        <v>1042</v>
      </c>
      <c r="C222" s="273" t="s">
        <v>1009</v>
      </c>
      <c r="D222" s="273" t="s">
        <v>1010</v>
      </c>
      <c r="E222" s="273" t="s">
        <v>1016</v>
      </c>
      <c r="F222" s="277" t="s">
        <v>1043</v>
      </c>
      <c r="G222" s="278" t="s">
        <v>1044</v>
      </c>
      <c r="H222" s="278">
        <f t="shared" si="10"/>
        <v>24</v>
      </c>
      <c r="I222" s="273">
        <v>2</v>
      </c>
      <c r="J222" s="273">
        <v>17</v>
      </c>
      <c r="K222" s="273">
        <v>45</v>
      </c>
      <c r="L222" s="273" t="s">
        <v>1042</v>
      </c>
      <c r="M222" s="273" t="s">
        <v>501</v>
      </c>
    </row>
    <row r="223" spans="2:13" x14ac:dyDescent="0.25">
      <c r="B223" s="273" t="s">
        <v>1045</v>
      </c>
      <c r="C223" s="273" t="s">
        <v>1009</v>
      </c>
      <c r="D223" s="273" t="s">
        <v>1010</v>
      </c>
      <c r="E223" s="273" t="s">
        <v>1016</v>
      </c>
      <c r="F223" s="277" t="s">
        <v>1046</v>
      </c>
      <c r="G223" s="278" t="s">
        <v>559</v>
      </c>
      <c r="H223" s="278">
        <f t="shared" si="10"/>
        <v>24</v>
      </c>
      <c r="I223" s="273">
        <v>2</v>
      </c>
      <c r="J223" s="273">
        <v>17</v>
      </c>
      <c r="K223" s="273">
        <v>33</v>
      </c>
      <c r="L223" s="273" t="s">
        <v>1045</v>
      </c>
      <c r="M223" s="273" t="s">
        <v>501</v>
      </c>
    </row>
    <row r="224" spans="2:13" x14ac:dyDescent="0.25">
      <c r="B224" s="273" t="s">
        <v>1047</v>
      </c>
      <c r="C224" s="273" t="s">
        <v>1009</v>
      </c>
      <c r="D224" s="273" t="s">
        <v>1010</v>
      </c>
      <c r="E224" s="273" t="s">
        <v>1016</v>
      </c>
      <c r="F224" s="277" t="s">
        <v>1048</v>
      </c>
      <c r="G224" s="278" t="s">
        <v>559</v>
      </c>
      <c r="H224" s="278">
        <f t="shared" si="10"/>
        <v>24</v>
      </c>
      <c r="I224" s="273">
        <v>2</v>
      </c>
      <c r="J224" s="273">
        <v>17</v>
      </c>
      <c r="K224" s="273">
        <v>31</v>
      </c>
      <c r="L224" s="273" t="s">
        <v>1047</v>
      </c>
      <c r="M224" s="273" t="s">
        <v>501</v>
      </c>
    </row>
    <row r="225" spans="2:13" x14ac:dyDescent="0.25">
      <c r="B225" s="273" t="s">
        <v>1049</v>
      </c>
      <c r="C225" s="273" t="s">
        <v>1009</v>
      </c>
      <c r="D225" s="273" t="s">
        <v>1010</v>
      </c>
      <c r="E225" s="273" t="s">
        <v>1016</v>
      </c>
      <c r="F225" s="277" t="s">
        <v>1050</v>
      </c>
      <c r="G225" s="278" t="s">
        <v>559</v>
      </c>
      <c r="H225" s="278">
        <f t="shared" si="10"/>
        <v>24</v>
      </c>
      <c r="I225" s="273">
        <v>2</v>
      </c>
      <c r="J225" s="273">
        <v>17</v>
      </c>
      <c r="K225" s="273">
        <v>28</v>
      </c>
      <c r="L225" s="273" t="s">
        <v>1049</v>
      </c>
      <c r="M225" s="273" t="s">
        <v>501</v>
      </c>
    </row>
    <row r="226" spans="2:13" x14ac:dyDescent="0.25">
      <c r="B226" s="273" t="s">
        <v>1051</v>
      </c>
      <c r="C226" s="273" t="s">
        <v>1009</v>
      </c>
      <c r="D226" s="273" t="s">
        <v>1010</v>
      </c>
      <c r="E226" s="273" t="s">
        <v>1016</v>
      </c>
      <c r="F226" s="277" t="s">
        <v>1052</v>
      </c>
      <c r="G226" s="278" t="s">
        <v>559</v>
      </c>
      <c r="H226" s="278">
        <f t="shared" si="10"/>
        <v>24</v>
      </c>
      <c r="I226" s="273">
        <v>2</v>
      </c>
      <c r="J226" s="273">
        <v>17</v>
      </c>
      <c r="K226" s="273">
        <v>29</v>
      </c>
      <c r="L226" s="273" t="s">
        <v>1051</v>
      </c>
      <c r="M226" s="273" t="s">
        <v>501</v>
      </c>
    </row>
    <row r="227" spans="2:13" x14ac:dyDescent="0.25">
      <c r="B227" s="273" t="s">
        <v>1053</v>
      </c>
      <c r="C227" s="273" t="s">
        <v>1009</v>
      </c>
      <c r="D227" s="273" t="s">
        <v>1010</v>
      </c>
      <c r="E227" s="273" t="s">
        <v>1016</v>
      </c>
      <c r="F227" s="277" t="s">
        <v>1054</v>
      </c>
      <c r="G227" s="278" t="s">
        <v>559</v>
      </c>
      <c r="H227" s="278">
        <f t="shared" si="10"/>
        <v>24</v>
      </c>
      <c r="I227" s="273">
        <v>2</v>
      </c>
      <c r="J227" s="273">
        <v>17</v>
      </c>
      <c r="K227" s="273">
        <v>31</v>
      </c>
      <c r="L227" s="273" t="s">
        <v>1053</v>
      </c>
      <c r="M227" s="273" t="s">
        <v>501</v>
      </c>
    </row>
    <row r="228" spans="2:13" x14ac:dyDescent="0.25">
      <c r="B228" s="273" t="s">
        <v>1055</v>
      </c>
      <c r="C228" s="273" t="s">
        <v>1009</v>
      </c>
      <c r="D228" s="273" t="s">
        <v>1010</v>
      </c>
      <c r="E228" s="273" t="s">
        <v>1016</v>
      </c>
      <c r="F228" s="277" t="s">
        <v>1056</v>
      </c>
      <c r="G228" s="278" t="s">
        <v>559</v>
      </c>
      <c r="H228" s="278">
        <f t="shared" si="10"/>
        <v>24</v>
      </c>
      <c r="I228" s="273">
        <v>2</v>
      </c>
      <c r="J228" s="273">
        <v>17</v>
      </c>
      <c r="K228" s="273">
        <v>34</v>
      </c>
      <c r="L228" s="273" t="s">
        <v>1055</v>
      </c>
      <c r="M228" s="273" t="s">
        <v>501</v>
      </c>
    </row>
    <row r="229" spans="2:13" x14ac:dyDescent="0.25">
      <c r="B229" s="273" t="s">
        <v>1057</v>
      </c>
      <c r="C229" s="273" t="s">
        <v>1009</v>
      </c>
      <c r="D229" s="273" t="s">
        <v>1010</v>
      </c>
      <c r="E229" s="273" t="s">
        <v>1016</v>
      </c>
      <c r="F229" s="277" t="s">
        <v>1058</v>
      </c>
      <c r="G229" s="278" t="s">
        <v>559</v>
      </c>
      <c r="H229" s="278">
        <f t="shared" si="10"/>
        <v>24</v>
      </c>
      <c r="I229" s="273">
        <v>2</v>
      </c>
      <c r="J229" s="273">
        <v>17</v>
      </c>
      <c r="K229" s="273">
        <v>28</v>
      </c>
      <c r="L229" s="273" t="s">
        <v>1057</v>
      </c>
      <c r="M229" s="273" t="s">
        <v>501</v>
      </c>
    </row>
    <row r="230" spans="2:13" x14ac:dyDescent="0.25">
      <c r="B230" s="273" t="s">
        <v>1059</v>
      </c>
      <c r="C230" s="273" t="s">
        <v>1009</v>
      </c>
      <c r="D230" s="273" t="s">
        <v>1010</v>
      </c>
      <c r="E230" s="273" t="s">
        <v>1016</v>
      </c>
      <c r="F230" s="277" t="s">
        <v>1060</v>
      </c>
      <c r="G230" s="278" t="s">
        <v>559</v>
      </c>
      <c r="H230" s="278">
        <f t="shared" si="10"/>
        <v>24</v>
      </c>
      <c r="I230" s="273">
        <v>3</v>
      </c>
      <c r="J230" s="273">
        <v>17</v>
      </c>
      <c r="K230" s="273">
        <v>47</v>
      </c>
      <c r="L230" s="273" t="s">
        <v>1059</v>
      </c>
      <c r="M230" s="273" t="s">
        <v>501</v>
      </c>
    </row>
    <row r="231" spans="2:13" x14ac:dyDescent="0.25">
      <c r="B231" s="273" t="s">
        <v>1061</v>
      </c>
      <c r="C231" s="273" t="s">
        <v>1009</v>
      </c>
      <c r="D231" s="273" t="s">
        <v>1010</v>
      </c>
      <c r="E231" s="273" t="s">
        <v>1016</v>
      </c>
      <c r="F231" s="277" t="s">
        <v>1062</v>
      </c>
      <c r="G231" s="278" t="s">
        <v>559</v>
      </c>
      <c r="H231" s="278">
        <f t="shared" si="10"/>
        <v>24</v>
      </c>
      <c r="I231" s="273">
        <v>3</v>
      </c>
      <c r="J231" s="273">
        <v>17</v>
      </c>
      <c r="K231" s="273">
        <v>49</v>
      </c>
      <c r="L231" s="273" t="s">
        <v>1061</v>
      </c>
      <c r="M231" s="273" t="s">
        <v>501</v>
      </c>
    </row>
    <row r="232" spans="2:13" x14ac:dyDescent="0.25">
      <c r="B232" s="273" t="s">
        <v>1063</v>
      </c>
      <c r="C232" s="273" t="s">
        <v>1009</v>
      </c>
      <c r="D232" s="273" t="s">
        <v>1010</v>
      </c>
      <c r="E232" s="273" t="s">
        <v>1016</v>
      </c>
      <c r="F232" s="277" t="s">
        <v>1064</v>
      </c>
      <c r="G232" s="278" t="s">
        <v>559</v>
      </c>
      <c r="H232" s="278">
        <f t="shared" si="10"/>
        <v>24</v>
      </c>
      <c r="I232" s="273">
        <v>3</v>
      </c>
      <c r="J232" s="273">
        <v>17</v>
      </c>
      <c r="K232" s="273">
        <v>43</v>
      </c>
      <c r="L232" s="273" t="s">
        <v>1063</v>
      </c>
      <c r="M232" s="273" t="s">
        <v>501</v>
      </c>
    </row>
    <row r="233" spans="2:13" x14ac:dyDescent="0.25">
      <c r="B233" s="273" t="s">
        <v>1065</v>
      </c>
      <c r="C233" s="273" t="s">
        <v>1009</v>
      </c>
      <c r="D233" s="273" t="s">
        <v>1010</v>
      </c>
      <c r="E233" s="273" t="s">
        <v>1016</v>
      </c>
      <c r="F233" s="277" t="s">
        <v>1066</v>
      </c>
      <c r="G233" s="278" t="s">
        <v>559</v>
      </c>
      <c r="H233" s="278">
        <f t="shared" si="10"/>
        <v>24</v>
      </c>
      <c r="I233" s="273">
        <v>3</v>
      </c>
      <c r="J233" s="273">
        <v>17</v>
      </c>
      <c r="K233" s="273">
        <v>52</v>
      </c>
      <c r="L233" s="273" t="s">
        <v>1065</v>
      </c>
      <c r="M233" s="273" t="s">
        <v>501</v>
      </c>
    </row>
    <row r="234" spans="2:13" x14ac:dyDescent="0.25">
      <c r="B234" s="273" t="s">
        <v>1067</v>
      </c>
      <c r="C234" s="273" t="s">
        <v>1009</v>
      </c>
      <c r="D234" s="273" t="s">
        <v>1010</v>
      </c>
      <c r="E234" s="273" t="s">
        <v>1016</v>
      </c>
      <c r="F234" s="277" t="s">
        <v>1068</v>
      </c>
      <c r="G234" s="278" t="s">
        <v>559</v>
      </c>
      <c r="H234" s="278">
        <f t="shared" si="10"/>
        <v>24</v>
      </c>
      <c r="I234" s="273">
        <v>3</v>
      </c>
      <c r="J234" s="273">
        <v>17</v>
      </c>
      <c r="K234" s="273">
        <v>41</v>
      </c>
      <c r="L234" s="273" t="s">
        <v>1067</v>
      </c>
      <c r="M234" s="273" t="s">
        <v>501</v>
      </c>
    </row>
    <row r="235" spans="2:13" x14ac:dyDescent="0.25">
      <c r="B235" s="273" t="s">
        <v>1069</v>
      </c>
      <c r="C235" s="273" t="s">
        <v>1009</v>
      </c>
      <c r="D235" s="273" t="s">
        <v>1010</v>
      </c>
      <c r="E235" s="273" t="s">
        <v>1016</v>
      </c>
      <c r="F235" s="277" t="s">
        <v>1070</v>
      </c>
      <c r="G235" s="278" t="s">
        <v>559</v>
      </c>
      <c r="H235" s="278">
        <f t="shared" si="10"/>
        <v>24</v>
      </c>
      <c r="I235" s="273">
        <v>4</v>
      </c>
      <c r="J235" s="273">
        <v>17</v>
      </c>
      <c r="K235" s="273">
        <v>61</v>
      </c>
      <c r="L235" s="273" t="s">
        <v>1069</v>
      </c>
      <c r="M235" s="273" t="s">
        <v>501</v>
      </c>
    </row>
    <row r="236" spans="2:13" x14ac:dyDescent="0.25">
      <c r="B236" s="273" t="s">
        <v>1071</v>
      </c>
      <c r="C236" s="273" t="s">
        <v>1009</v>
      </c>
      <c r="D236" s="273" t="s">
        <v>1010</v>
      </c>
      <c r="E236" s="273" t="s">
        <v>1016</v>
      </c>
      <c r="F236" s="277" t="s">
        <v>1072</v>
      </c>
      <c r="G236" s="278" t="s">
        <v>559</v>
      </c>
      <c r="H236" s="278">
        <f t="shared" si="10"/>
        <v>24</v>
      </c>
      <c r="I236" s="273">
        <v>4</v>
      </c>
      <c r="J236" s="273">
        <v>17</v>
      </c>
      <c r="K236" s="273">
        <v>55</v>
      </c>
      <c r="L236" s="273" t="s">
        <v>1071</v>
      </c>
      <c r="M236" s="273" t="s">
        <v>501</v>
      </c>
    </row>
    <row r="237" spans="2:13" x14ac:dyDescent="0.25">
      <c r="B237" s="273" t="s">
        <v>1073</v>
      </c>
      <c r="C237" s="273" t="s">
        <v>1009</v>
      </c>
      <c r="D237" s="273" t="s">
        <v>1010</v>
      </c>
      <c r="E237" s="273" t="s">
        <v>1016</v>
      </c>
      <c r="F237" s="277" t="s">
        <v>1074</v>
      </c>
      <c r="G237" s="278" t="s">
        <v>559</v>
      </c>
      <c r="H237" s="278">
        <f t="shared" si="10"/>
        <v>24</v>
      </c>
      <c r="I237" s="273">
        <v>4</v>
      </c>
      <c r="J237" s="273">
        <v>17</v>
      </c>
      <c r="K237" s="273">
        <v>68</v>
      </c>
      <c r="L237" s="273" t="s">
        <v>1073</v>
      </c>
      <c r="M237" s="273" t="s">
        <v>501</v>
      </c>
    </row>
    <row r="238" spans="2:13" x14ac:dyDescent="0.25">
      <c r="B238" s="273" t="s">
        <v>1075</v>
      </c>
      <c r="C238" s="273" t="s">
        <v>1009</v>
      </c>
      <c r="D238" s="273" t="s">
        <v>1010</v>
      </c>
      <c r="E238" s="273" t="s">
        <v>1016</v>
      </c>
      <c r="F238" s="277" t="s">
        <v>1076</v>
      </c>
      <c r="G238" s="278" t="s">
        <v>559</v>
      </c>
      <c r="H238" s="278">
        <f t="shared" si="10"/>
        <v>24</v>
      </c>
      <c r="I238" s="273">
        <v>4</v>
      </c>
      <c r="J238" s="273">
        <v>17</v>
      </c>
      <c r="K238" s="273">
        <v>57</v>
      </c>
      <c r="L238" s="273" t="s">
        <v>1075</v>
      </c>
      <c r="M238" s="273" t="s">
        <v>501</v>
      </c>
    </row>
    <row r="239" spans="2:13" x14ac:dyDescent="0.25">
      <c r="B239" s="273" t="s">
        <v>1077</v>
      </c>
      <c r="C239" s="273" t="s">
        <v>1009</v>
      </c>
      <c r="D239" s="273" t="s">
        <v>1010</v>
      </c>
      <c r="E239" s="273" t="s">
        <v>1078</v>
      </c>
      <c r="F239" s="277" t="s">
        <v>1079</v>
      </c>
      <c r="G239" s="278" t="s">
        <v>559</v>
      </c>
      <c r="H239" s="278">
        <f t="shared" si="10"/>
        <v>36</v>
      </c>
      <c r="I239" s="273">
        <v>1</v>
      </c>
      <c r="J239" s="273">
        <v>25</v>
      </c>
      <c r="K239" s="273">
        <v>26</v>
      </c>
      <c r="L239" s="273" t="s">
        <v>1077</v>
      </c>
      <c r="M239" s="273" t="s">
        <v>501</v>
      </c>
    </row>
    <row r="240" spans="2:13" x14ac:dyDescent="0.25">
      <c r="B240" s="273" t="s">
        <v>1080</v>
      </c>
      <c r="C240" s="273" t="s">
        <v>1009</v>
      </c>
      <c r="D240" s="273" t="s">
        <v>1010</v>
      </c>
      <c r="E240" s="273" t="s">
        <v>1078</v>
      </c>
      <c r="F240" s="277" t="s">
        <v>1081</v>
      </c>
      <c r="G240" s="278" t="s">
        <v>559</v>
      </c>
      <c r="H240" s="278">
        <f t="shared" si="10"/>
        <v>36</v>
      </c>
      <c r="I240" s="273">
        <v>1</v>
      </c>
      <c r="J240" s="273">
        <v>25</v>
      </c>
      <c r="K240" s="273">
        <v>23</v>
      </c>
      <c r="L240" s="273" t="s">
        <v>1080</v>
      </c>
      <c r="M240" s="273" t="s">
        <v>501</v>
      </c>
    </row>
    <row r="241" spans="2:13" x14ac:dyDescent="0.25">
      <c r="B241" s="273" t="s">
        <v>1082</v>
      </c>
      <c r="C241" s="273" t="s">
        <v>1009</v>
      </c>
      <c r="D241" s="273" t="s">
        <v>1010</v>
      </c>
      <c r="E241" s="273" t="s">
        <v>1078</v>
      </c>
      <c r="F241" s="277" t="s">
        <v>1083</v>
      </c>
      <c r="G241" s="278" t="s">
        <v>559</v>
      </c>
      <c r="H241" s="278">
        <f t="shared" si="10"/>
        <v>36</v>
      </c>
      <c r="I241" s="273">
        <v>1</v>
      </c>
      <c r="J241" s="273">
        <v>25</v>
      </c>
      <c r="K241" s="273">
        <v>24</v>
      </c>
      <c r="L241" s="273" t="s">
        <v>1082</v>
      </c>
      <c r="M241" s="273" t="s">
        <v>501</v>
      </c>
    </row>
    <row r="242" spans="2:13" x14ac:dyDescent="0.25">
      <c r="B242" s="273" t="s">
        <v>1084</v>
      </c>
      <c r="C242" s="273" t="s">
        <v>1009</v>
      </c>
      <c r="D242" s="273" t="s">
        <v>1010</v>
      </c>
      <c r="E242" s="273" t="s">
        <v>1078</v>
      </c>
      <c r="F242" s="277" t="s">
        <v>1085</v>
      </c>
      <c r="G242" s="278" t="s">
        <v>559</v>
      </c>
      <c r="H242" s="278">
        <f t="shared" si="10"/>
        <v>36</v>
      </c>
      <c r="I242" s="273">
        <v>1</v>
      </c>
      <c r="J242" s="273">
        <v>25</v>
      </c>
      <c r="K242" s="273">
        <v>23</v>
      </c>
      <c r="L242" s="273" t="s">
        <v>1084</v>
      </c>
      <c r="M242" s="273" t="s">
        <v>501</v>
      </c>
    </row>
    <row r="243" spans="2:13" x14ac:dyDescent="0.25">
      <c r="B243" s="273" t="s">
        <v>1086</v>
      </c>
      <c r="C243" s="273" t="s">
        <v>1009</v>
      </c>
      <c r="D243" s="273" t="s">
        <v>1010</v>
      </c>
      <c r="E243" s="273" t="s">
        <v>1078</v>
      </c>
      <c r="F243" s="277" t="s">
        <v>1087</v>
      </c>
      <c r="G243" s="278" t="s">
        <v>559</v>
      </c>
      <c r="H243" s="278">
        <f t="shared" si="10"/>
        <v>36</v>
      </c>
      <c r="I243" s="273">
        <v>1</v>
      </c>
      <c r="J243" s="273">
        <v>25</v>
      </c>
      <c r="K243" s="273">
        <v>22</v>
      </c>
      <c r="L243" s="273" t="s">
        <v>1086</v>
      </c>
      <c r="M243" s="273" t="s">
        <v>501</v>
      </c>
    </row>
    <row r="244" spans="2:13" x14ac:dyDescent="0.25">
      <c r="B244" s="273" t="s">
        <v>1088</v>
      </c>
      <c r="C244" s="273" t="s">
        <v>1009</v>
      </c>
      <c r="D244" s="273" t="s">
        <v>1010</v>
      </c>
      <c r="E244" s="273" t="s">
        <v>1078</v>
      </c>
      <c r="F244" s="277" t="s">
        <v>1089</v>
      </c>
      <c r="G244" s="278" t="s">
        <v>559</v>
      </c>
      <c r="H244" s="278">
        <f t="shared" si="10"/>
        <v>36</v>
      </c>
      <c r="I244" s="273">
        <v>1</v>
      </c>
      <c r="J244" s="273">
        <v>25</v>
      </c>
      <c r="K244" s="273">
        <v>22</v>
      </c>
      <c r="L244" s="273" t="s">
        <v>1088</v>
      </c>
      <c r="M244" s="273" t="s">
        <v>501</v>
      </c>
    </row>
    <row r="245" spans="2:13" x14ac:dyDescent="0.25">
      <c r="B245" s="273" t="s">
        <v>1090</v>
      </c>
      <c r="C245" s="273" t="s">
        <v>1009</v>
      </c>
      <c r="D245" s="273" t="s">
        <v>1010</v>
      </c>
      <c r="E245" s="273" t="s">
        <v>1078</v>
      </c>
      <c r="F245" s="277" t="s">
        <v>1091</v>
      </c>
      <c r="G245" s="278" t="s">
        <v>559</v>
      </c>
      <c r="H245" s="278">
        <f t="shared" si="10"/>
        <v>36</v>
      </c>
      <c r="I245" s="273">
        <v>1</v>
      </c>
      <c r="J245" s="273">
        <v>25</v>
      </c>
      <c r="K245" s="273">
        <v>22</v>
      </c>
      <c r="L245" s="273" t="s">
        <v>1090</v>
      </c>
      <c r="M245" s="273" t="s">
        <v>501</v>
      </c>
    </row>
    <row r="246" spans="2:13" x14ac:dyDescent="0.25">
      <c r="B246" s="273" t="s">
        <v>1092</v>
      </c>
      <c r="C246" s="273" t="s">
        <v>1009</v>
      </c>
      <c r="D246" s="273" t="s">
        <v>1010</v>
      </c>
      <c r="E246" s="273" t="s">
        <v>1078</v>
      </c>
      <c r="F246" s="277" t="s">
        <v>1093</v>
      </c>
      <c r="G246" s="278" t="s">
        <v>559</v>
      </c>
      <c r="H246" s="278">
        <f t="shared" si="10"/>
        <v>36</v>
      </c>
      <c r="I246" s="273">
        <v>1</v>
      </c>
      <c r="J246" s="273">
        <v>25</v>
      </c>
      <c r="K246" s="273">
        <v>22</v>
      </c>
      <c r="L246" s="273" t="s">
        <v>1092</v>
      </c>
      <c r="M246" s="273" t="s">
        <v>501</v>
      </c>
    </row>
    <row r="247" spans="2:13" x14ac:dyDescent="0.25">
      <c r="B247" s="273" t="s">
        <v>1094</v>
      </c>
      <c r="C247" s="273" t="s">
        <v>1009</v>
      </c>
      <c r="D247" s="273" t="s">
        <v>1010</v>
      </c>
      <c r="E247" s="273" t="s">
        <v>1078</v>
      </c>
      <c r="F247" s="277" t="s">
        <v>1095</v>
      </c>
      <c r="G247" s="278" t="s">
        <v>559</v>
      </c>
      <c r="H247" s="278">
        <f t="shared" si="10"/>
        <v>36</v>
      </c>
      <c r="I247" s="273">
        <v>1</v>
      </c>
      <c r="J247" s="273">
        <v>25</v>
      </c>
      <c r="K247" s="273">
        <v>28</v>
      </c>
      <c r="L247" s="273" t="s">
        <v>1094</v>
      </c>
      <c r="M247" s="273" t="s">
        <v>501</v>
      </c>
    </row>
    <row r="248" spans="2:13" x14ac:dyDescent="0.25">
      <c r="B248" s="273" t="s">
        <v>1096</v>
      </c>
      <c r="C248" s="273" t="s">
        <v>1009</v>
      </c>
      <c r="D248" s="273" t="s">
        <v>1010</v>
      </c>
      <c r="E248" s="273" t="s">
        <v>1078</v>
      </c>
      <c r="F248" s="277" t="s">
        <v>1097</v>
      </c>
      <c r="G248" s="278" t="s">
        <v>559</v>
      </c>
      <c r="H248" s="278">
        <f t="shared" si="10"/>
        <v>36</v>
      </c>
      <c r="I248" s="273">
        <v>1</v>
      </c>
      <c r="J248" s="273">
        <v>25</v>
      </c>
      <c r="K248" s="273">
        <v>27</v>
      </c>
      <c r="L248" s="273" t="s">
        <v>1096</v>
      </c>
      <c r="M248" s="273" t="s">
        <v>501</v>
      </c>
    </row>
    <row r="249" spans="2:13" x14ac:dyDescent="0.25">
      <c r="B249" s="273" t="s">
        <v>1098</v>
      </c>
      <c r="C249" s="273" t="s">
        <v>1009</v>
      </c>
      <c r="D249" s="273" t="s">
        <v>1010</v>
      </c>
      <c r="E249" s="273" t="s">
        <v>1078</v>
      </c>
      <c r="F249" s="277" t="s">
        <v>1099</v>
      </c>
      <c r="G249" s="278" t="s">
        <v>559</v>
      </c>
      <c r="H249" s="278">
        <f t="shared" si="10"/>
        <v>36</v>
      </c>
      <c r="I249" s="273">
        <v>1</v>
      </c>
      <c r="J249" s="273">
        <v>25</v>
      </c>
      <c r="K249" s="273">
        <v>24</v>
      </c>
      <c r="L249" s="273" t="s">
        <v>1098</v>
      </c>
      <c r="M249" s="273" t="s">
        <v>501</v>
      </c>
    </row>
    <row r="250" spans="2:13" x14ac:dyDescent="0.25">
      <c r="B250" s="273" t="s">
        <v>1100</v>
      </c>
      <c r="C250" s="273" t="s">
        <v>1009</v>
      </c>
      <c r="D250" s="273" t="s">
        <v>1010</v>
      </c>
      <c r="E250" s="273" t="s">
        <v>1078</v>
      </c>
      <c r="F250" s="277" t="s">
        <v>1101</v>
      </c>
      <c r="G250" s="278" t="s">
        <v>559</v>
      </c>
      <c r="H250" s="278">
        <f t="shared" si="10"/>
        <v>36</v>
      </c>
      <c r="I250" s="273">
        <v>1</v>
      </c>
      <c r="J250" s="273">
        <v>25</v>
      </c>
      <c r="K250" s="273">
        <v>23</v>
      </c>
      <c r="L250" s="273" t="s">
        <v>1100</v>
      </c>
      <c r="M250" s="273" t="s">
        <v>501</v>
      </c>
    </row>
    <row r="251" spans="2:13" x14ac:dyDescent="0.25">
      <c r="B251" s="273" t="s">
        <v>1102</v>
      </c>
      <c r="C251" s="273" t="s">
        <v>1009</v>
      </c>
      <c r="D251" s="273" t="s">
        <v>1010</v>
      </c>
      <c r="E251" s="273" t="s">
        <v>1078</v>
      </c>
      <c r="F251" s="277" t="s">
        <v>1103</v>
      </c>
      <c r="G251" s="278" t="s">
        <v>559</v>
      </c>
      <c r="H251" s="278">
        <f t="shared" si="10"/>
        <v>36</v>
      </c>
      <c r="I251" s="273">
        <v>1</v>
      </c>
      <c r="J251" s="273">
        <v>25</v>
      </c>
      <c r="K251" s="273">
        <v>24</v>
      </c>
      <c r="L251" s="273" t="s">
        <v>1102</v>
      </c>
      <c r="M251" s="273" t="s">
        <v>501</v>
      </c>
    </row>
    <row r="252" spans="2:13" x14ac:dyDescent="0.25">
      <c r="B252" s="273" t="s">
        <v>1104</v>
      </c>
      <c r="C252" s="273" t="s">
        <v>1009</v>
      </c>
      <c r="D252" s="273" t="s">
        <v>1010</v>
      </c>
      <c r="E252" s="273" t="s">
        <v>1078</v>
      </c>
      <c r="F252" s="277" t="s">
        <v>1105</v>
      </c>
      <c r="G252" s="278" t="s">
        <v>559</v>
      </c>
      <c r="H252" s="278">
        <f t="shared" si="10"/>
        <v>36</v>
      </c>
      <c r="I252" s="273">
        <v>1</v>
      </c>
      <c r="J252" s="273">
        <v>25</v>
      </c>
      <c r="K252" s="273">
        <v>22</v>
      </c>
      <c r="L252" s="273" t="s">
        <v>1104</v>
      </c>
      <c r="M252" s="273" t="s">
        <v>501</v>
      </c>
    </row>
    <row r="253" spans="2:13" x14ac:dyDescent="0.25">
      <c r="B253" s="273" t="s">
        <v>1106</v>
      </c>
      <c r="C253" s="273" t="s">
        <v>1009</v>
      </c>
      <c r="D253" s="273" t="s">
        <v>1010</v>
      </c>
      <c r="E253" s="273" t="s">
        <v>1078</v>
      </c>
      <c r="F253" s="277" t="s">
        <v>1107</v>
      </c>
      <c r="G253" s="278" t="s">
        <v>559</v>
      </c>
      <c r="H253" s="278">
        <f t="shared" si="10"/>
        <v>36</v>
      </c>
      <c r="I253" s="273">
        <v>1</v>
      </c>
      <c r="J253" s="273">
        <v>25</v>
      </c>
      <c r="K253" s="273">
        <v>26</v>
      </c>
      <c r="L253" s="273" t="s">
        <v>1106</v>
      </c>
      <c r="M253" s="273" t="s">
        <v>501</v>
      </c>
    </row>
    <row r="254" spans="2:13" x14ac:dyDescent="0.25">
      <c r="B254" s="273" t="s">
        <v>1108</v>
      </c>
      <c r="C254" s="273" t="s">
        <v>1009</v>
      </c>
      <c r="D254" s="273" t="s">
        <v>1010</v>
      </c>
      <c r="E254" s="273" t="s">
        <v>1078</v>
      </c>
      <c r="F254" s="277" t="s">
        <v>1109</v>
      </c>
      <c r="G254" s="278" t="s">
        <v>559</v>
      </c>
      <c r="H254" s="278">
        <f t="shared" si="10"/>
        <v>36</v>
      </c>
      <c r="I254" s="273">
        <v>1</v>
      </c>
      <c r="J254" s="273">
        <v>25</v>
      </c>
      <c r="K254" s="273">
        <v>23</v>
      </c>
      <c r="L254" s="273" t="s">
        <v>1108</v>
      </c>
      <c r="M254" s="273" t="s">
        <v>501</v>
      </c>
    </row>
    <row r="255" spans="2:13" x14ac:dyDescent="0.25">
      <c r="B255" s="273" t="s">
        <v>1110</v>
      </c>
      <c r="C255" s="273" t="s">
        <v>1009</v>
      </c>
      <c r="D255" s="273" t="s">
        <v>1010</v>
      </c>
      <c r="E255" s="273" t="s">
        <v>1078</v>
      </c>
      <c r="F255" s="277" t="s">
        <v>1111</v>
      </c>
      <c r="G255" s="278" t="s">
        <v>559</v>
      </c>
      <c r="H255" s="278">
        <f t="shared" si="10"/>
        <v>36</v>
      </c>
      <c r="I255" s="273">
        <v>2</v>
      </c>
      <c r="J255" s="273">
        <v>25</v>
      </c>
      <c r="K255" s="273">
        <v>46</v>
      </c>
      <c r="L255" s="273" t="s">
        <v>1110</v>
      </c>
      <c r="M255" s="273" t="s">
        <v>501</v>
      </c>
    </row>
    <row r="256" spans="2:13" x14ac:dyDescent="0.25">
      <c r="B256" s="273" t="s">
        <v>1112</v>
      </c>
      <c r="C256" s="273" t="s">
        <v>1009</v>
      </c>
      <c r="D256" s="273" t="s">
        <v>1010</v>
      </c>
      <c r="E256" s="273" t="s">
        <v>1078</v>
      </c>
      <c r="F256" s="277" t="s">
        <v>1113</v>
      </c>
      <c r="G256" s="278" t="s">
        <v>559</v>
      </c>
      <c r="H256" s="278">
        <f t="shared" si="10"/>
        <v>36</v>
      </c>
      <c r="I256" s="273">
        <v>2</v>
      </c>
      <c r="J256" s="273">
        <v>25</v>
      </c>
      <c r="K256" s="273">
        <v>44</v>
      </c>
      <c r="L256" s="273" t="s">
        <v>1112</v>
      </c>
      <c r="M256" s="273" t="s">
        <v>501</v>
      </c>
    </row>
    <row r="257" spans="2:13" x14ac:dyDescent="0.25">
      <c r="B257" s="273" t="s">
        <v>1114</v>
      </c>
      <c r="C257" s="273" t="s">
        <v>1009</v>
      </c>
      <c r="D257" s="273" t="s">
        <v>1010</v>
      </c>
      <c r="E257" s="273" t="s">
        <v>1078</v>
      </c>
      <c r="F257" s="277" t="s">
        <v>1115</v>
      </c>
      <c r="G257" s="278" t="s">
        <v>559</v>
      </c>
      <c r="H257" s="278">
        <f t="shared" si="10"/>
        <v>36</v>
      </c>
      <c r="I257" s="273">
        <v>2</v>
      </c>
      <c r="J257" s="273">
        <v>25</v>
      </c>
      <c r="K257" s="273">
        <v>43</v>
      </c>
      <c r="L257" s="273" t="s">
        <v>1114</v>
      </c>
      <c r="M257" s="273" t="s">
        <v>501</v>
      </c>
    </row>
    <row r="258" spans="2:13" x14ac:dyDescent="0.25">
      <c r="B258" s="273" t="s">
        <v>1116</v>
      </c>
      <c r="C258" s="273" t="s">
        <v>1009</v>
      </c>
      <c r="D258" s="273" t="s">
        <v>1010</v>
      </c>
      <c r="E258" s="273" t="s">
        <v>1078</v>
      </c>
      <c r="F258" s="277" t="s">
        <v>1117</v>
      </c>
      <c r="G258" s="278" t="s">
        <v>559</v>
      </c>
      <c r="H258" s="278">
        <f t="shared" si="10"/>
        <v>36</v>
      </c>
      <c r="I258" s="273">
        <v>2</v>
      </c>
      <c r="J258" s="273">
        <v>25</v>
      </c>
      <c r="K258" s="273">
        <v>48</v>
      </c>
      <c r="L258" s="273" t="s">
        <v>1116</v>
      </c>
      <c r="M258" s="273" t="s">
        <v>501</v>
      </c>
    </row>
    <row r="259" spans="2:13" x14ac:dyDescent="0.25">
      <c r="B259" s="273" t="s">
        <v>1118</v>
      </c>
      <c r="C259" s="273" t="s">
        <v>1009</v>
      </c>
      <c r="D259" s="273" t="s">
        <v>1010</v>
      </c>
      <c r="E259" s="273" t="s">
        <v>1078</v>
      </c>
      <c r="F259" s="277" t="s">
        <v>1119</v>
      </c>
      <c r="G259" s="278" t="s">
        <v>559</v>
      </c>
      <c r="H259" s="278">
        <f t="shared" si="10"/>
        <v>36</v>
      </c>
      <c r="I259" s="273">
        <v>2</v>
      </c>
      <c r="J259" s="273">
        <v>25</v>
      </c>
      <c r="K259" s="273">
        <v>46</v>
      </c>
      <c r="L259" s="273" t="s">
        <v>1118</v>
      </c>
      <c r="M259" s="273" t="s">
        <v>501</v>
      </c>
    </row>
    <row r="260" spans="2:13" x14ac:dyDescent="0.25">
      <c r="B260" s="273" t="s">
        <v>1120</v>
      </c>
      <c r="C260" s="273" t="s">
        <v>1009</v>
      </c>
      <c r="D260" s="273" t="s">
        <v>1010</v>
      </c>
      <c r="E260" s="273" t="s">
        <v>1078</v>
      </c>
      <c r="F260" s="277" t="s">
        <v>1121</v>
      </c>
      <c r="G260" s="278" t="s">
        <v>1044</v>
      </c>
      <c r="H260" s="278">
        <f t="shared" si="10"/>
        <v>36</v>
      </c>
      <c r="I260" s="273">
        <v>2</v>
      </c>
      <c r="J260" s="273">
        <v>25</v>
      </c>
      <c r="K260" s="273">
        <v>65</v>
      </c>
      <c r="L260" s="273" t="s">
        <v>1120</v>
      </c>
      <c r="M260" s="273" t="s">
        <v>501</v>
      </c>
    </row>
    <row r="261" spans="2:13" x14ac:dyDescent="0.25">
      <c r="B261" s="273" t="s">
        <v>1122</v>
      </c>
      <c r="C261" s="273" t="s">
        <v>1009</v>
      </c>
      <c r="D261" s="273" t="s">
        <v>1010</v>
      </c>
      <c r="E261" s="273" t="s">
        <v>1078</v>
      </c>
      <c r="F261" s="277" t="s">
        <v>1123</v>
      </c>
      <c r="G261" s="278" t="s">
        <v>559</v>
      </c>
      <c r="H261" s="278">
        <f t="shared" si="10"/>
        <v>36</v>
      </c>
      <c r="I261" s="273">
        <v>2</v>
      </c>
      <c r="J261" s="273">
        <v>25</v>
      </c>
      <c r="K261" s="273">
        <v>46</v>
      </c>
      <c r="L261" s="273" t="s">
        <v>1122</v>
      </c>
      <c r="M261" s="273" t="s">
        <v>501</v>
      </c>
    </row>
    <row r="262" spans="2:13" x14ac:dyDescent="0.25">
      <c r="B262" s="273" t="s">
        <v>1124</v>
      </c>
      <c r="C262" s="273" t="s">
        <v>1009</v>
      </c>
      <c r="D262" s="273" t="s">
        <v>1010</v>
      </c>
      <c r="E262" s="273" t="s">
        <v>1078</v>
      </c>
      <c r="F262" s="277" t="s">
        <v>1125</v>
      </c>
      <c r="G262" s="278" t="s">
        <v>559</v>
      </c>
      <c r="H262" s="278">
        <f t="shared" si="10"/>
        <v>36</v>
      </c>
      <c r="I262" s="273">
        <v>2</v>
      </c>
      <c r="J262" s="273">
        <v>25</v>
      </c>
      <c r="K262" s="273">
        <v>45</v>
      </c>
      <c r="L262" s="273" t="s">
        <v>1124</v>
      </c>
      <c r="M262" s="273" t="s">
        <v>501</v>
      </c>
    </row>
    <row r="263" spans="2:13" x14ac:dyDescent="0.25">
      <c r="B263" s="273" t="s">
        <v>1126</v>
      </c>
      <c r="C263" s="273" t="s">
        <v>1009</v>
      </c>
      <c r="D263" s="273" t="s">
        <v>1010</v>
      </c>
      <c r="E263" s="273" t="s">
        <v>1078</v>
      </c>
      <c r="F263" s="277" t="s">
        <v>1127</v>
      </c>
      <c r="G263" s="278" t="s">
        <v>559</v>
      </c>
      <c r="H263" s="278">
        <f t="shared" si="10"/>
        <v>36</v>
      </c>
      <c r="I263" s="273">
        <v>2</v>
      </c>
      <c r="J263" s="273">
        <v>25</v>
      </c>
      <c r="K263" s="273">
        <v>50</v>
      </c>
      <c r="L263" s="273" t="s">
        <v>1126</v>
      </c>
      <c r="M263" s="273" t="s">
        <v>501</v>
      </c>
    </row>
    <row r="264" spans="2:13" x14ac:dyDescent="0.25">
      <c r="B264" s="273" t="s">
        <v>1128</v>
      </c>
      <c r="C264" s="273" t="s">
        <v>1009</v>
      </c>
      <c r="D264" s="273" t="s">
        <v>1010</v>
      </c>
      <c r="E264" s="273" t="s">
        <v>1078</v>
      </c>
      <c r="F264" s="277" t="s">
        <v>1129</v>
      </c>
      <c r="G264" s="278" t="s">
        <v>559</v>
      </c>
      <c r="H264" s="278">
        <f t="shared" si="10"/>
        <v>36</v>
      </c>
      <c r="I264" s="273">
        <v>2</v>
      </c>
      <c r="J264" s="273">
        <v>25</v>
      </c>
      <c r="K264" s="273">
        <v>42</v>
      </c>
      <c r="L264" s="273" t="s">
        <v>1128</v>
      </c>
      <c r="M264" s="273" t="s">
        <v>501</v>
      </c>
    </row>
    <row r="265" spans="2:13" x14ac:dyDescent="0.25">
      <c r="B265" s="273" t="s">
        <v>1130</v>
      </c>
      <c r="C265" s="273" t="s">
        <v>1009</v>
      </c>
      <c r="D265" s="273" t="s">
        <v>1010</v>
      </c>
      <c r="E265" s="273" t="s">
        <v>1078</v>
      </c>
      <c r="F265" s="277" t="s">
        <v>1131</v>
      </c>
      <c r="G265" s="278" t="s">
        <v>559</v>
      </c>
      <c r="H265" s="278">
        <f t="shared" si="10"/>
        <v>36</v>
      </c>
      <c r="I265" s="273">
        <v>2</v>
      </c>
      <c r="J265" s="273">
        <v>25</v>
      </c>
      <c r="K265" s="273">
        <v>70</v>
      </c>
      <c r="L265" s="273" t="s">
        <v>1130</v>
      </c>
      <c r="M265" s="273" t="s">
        <v>501</v>
      </c>
    </row>
    <row r="266" spans="2:13" x14ac:dyDescent="0.25">
      <c r="B266" s="273" t="s">
        <v>1132</v>
      </c>
      <c r="C266" s="273" t="s">
        <v>1009</v>
      </c>
      <c r="D266" s="273" t="s">
        <v>1010</v>
      </c>
      <c r="E266" s="273" t="s">
        <v>1078</v>
      </c>
      <c r="F266" s="277" t="s">
        <v>1133</v>
      </c>
      <c r="G266" s="278" t="s">
        <v>559</v>
      </c>
      <c r="H266" s="278">
        <f t="shared" si="10"/>
        <v>36</v>
      </c>
      <c r="I266" s="273">
        <v>3</v>
      </c>
      <c r="J266" s="273">
        <v>25</v>
      </c>
      <c r="K266" s="273">
        <v>67</v>
      </c>
      <c r="L266" s="273" t="s">
        <v>1132</v>
      </c>
      <c r="M266" s="273" t="s">
        <v>501</v>
      </c>
    </row>
    <row r="267" spans="2:13" x14ac:dyDescent="0.25">
      <c r="B267" s="273" t="s">
        <v>1134</v>
      </c>
      <c r="C267" s="273" t="s">
        <v>1009</v>
      </c>
      <c r="D267" s="273" t="s">
        <v>1010</v>
      </c>
      <c r="E267" s="273" t="s">
        <v>1078</v>
      </c>
      <c r="F267" s="277" t="s">
        <v>1135</v>
      </c>
      <c r="G267" s="278" t="s">
        <v>559</v>
      </c>
      <c r="H267" s="278">
        <f t="shared" si="10"/>
        <v>36</v>
      </c>
      <c r="I267" s="273">
        <v>3</v>
      </c>
      <c r="J267" s="273">
        <v>25</v>
      </c>
      <c r="K267" s="273">
        <v>66</v>
      </c>
      <c r="L267" s="273" t="s">
        <v>1134</v>
      </c>
      <c r="M267" s="273" t="s">
        <v>501</v>
      </c>
    </row>
    <row r="268" spans="2:13" x14ac:dyDescent="0.25">
      <c r="B268" s="273" t="s">
        <v>1136</v>
      </c>
      <c r="C268" s="273" t="s">
        <v>1009</v>
      </c>
      <c r="D268" s="273" t="s">
        <v>1010</v>
      </c>
      <c r="E268" s="273" t="s">
        <v>1078</v>
      </c>
      <c r="F268" s="277" t="s">
        <v>1137</v>
      </c>
      <c r="G268" s="278" t="s">
        <v>559</v>
      </c>
      <c r="H268" s="278">
        <f t="shared" si="10"/>
        <v>36</v>
      </c>
      <c r="I268" s="273">
        <v>3</v>
      </c>
      <c r="J268" s="273">
        <v>25</v>
      </c>
      <c r="K268" s="273">
        <v>72</v>
      </c>
      <c r="L268" s="273" t="s">
        <v>1136</v>
      </c>
      <c r="M268" s="273" t="s">
        <v>501</v>
      </c>
    </row>
    <row r="269" spans="2:13" x14ac:dyDescent="0.25">
      <c r="B269" s="273" t="s">
        <v>1138</v>
      </c>
      <c r="C269" s="273" t="s">
        <v>1009</v>
      </c>
      <c r="D269" s="273" t="s">
        <v>1010</v>
      </c>
      <c r="E269" s="273" t="s">
        <v>1078</v>
      </c>
      <c r="F269" s="277" t="s">
        <v>1139</v>
      </c>
      <c r="G269" s="278" t="s">
        <v>559</v>
      </c>
      <c r="H269" s="278">
        <f t="shared" si="10"/>
        <v>36</v>
      </c>
      <c r="I269" s="273">
        <v>3</v>
      </c>
      <c r="J269" s="273">
        <v>25</v>
      </c>
      <c r="K269" s="273">
        <v>62</v>
      </c>
      <c r="L269" s="273" t="s">
        <v>1138</v>
      </c>
      <c r="M269" s="273" t="s">
        <v>501</v>
      </c>
    </row>
    <row r="270" spans="2:13" x14ac:dyDescent="0.25">
      <c r="B270" s="273" t="s">
        <v>1140</v>
      </c>
      <c r="C270" s="273" t="s">
        <v>1009</v>
      </c>
      <c r="D270" s="273" t="s">
        <v>1010</v>
      </c>
      <c r="E270" s="273" t="s">
        <v>1078</v>
      </c>
      <c r="F270" s="277" t="s">
        <v>1141</v>
      </c>
      <c r="G270" s="278" t="s">
        <v>559</v>
      </c>
      <c r="H270" s="278">
        <f t="shared" si="10"/>
        <v>36</v>
      </c>
      <c r="I270" s="273">
        <v>4</v>
      </c>
      <c r="J270" s="273">
        <v>25</v>
      </c>
      <c r="K270" s="273">
        <v>87</v>
      </c>
      <c r="L270" s="273" t="s">
        <v>1140</v>
      </c>
      <c r="M270" s="273" t="s">
        <v>501</v>
      </c>
    </row>
    <row r="271" spans="2:13" x14ac:dyDescent="0.25">
      <c r="B271" s="273" t="s">
        <v>1142</v>
      </c>
      <c r="C271" s="273" t="s">
        <v>1009</v>
      </c>
      <c r="D271" s="273" t="s">
        <v>1010</v>
      </c>
      <c r="E271" s="273" t="s">
        <v>1078</v>
      </c>
      <c r="F271" s="277" t="s">
        <v>1143</v>
      </c>
      <c r="G271" s="278" t="s">
        <v>559</v>
      </c>
      <c r="H271" s="278">
        <f t="shared" ref="H271:H334" si="11">MID(B271,2,1)*12</f>
        <v>36</v>
      </c>
      <c r="I271" s="273">
        <v>4</v>
      </c>
      <c r="J271" s="273">
        <v>25</v>
      </c>
      <c r="K271" s="273">
        <v>86</v>
      </c>
      <c r="L271" s="273" t="s">
        <v>1142</v>
      </c>
      <c r="M271" s="273" t="s">
        <v>501</v>
      </c>
    </row>
    <row r="272" spans="2:13" x14ac:dyDescent="0.25">
      <c r="B272" s="273" t="s">
        <v>1144</v>
      </c>
      <c r="C272" s="273" t="s">
        <v>1009</v>
      </c>
      <c r="D272" s="273" t="s">
        <v>1010</v>
      </c>
      <c r="E272" s="273" t="s">
        <v>1078</v>
      </c>
      <c r="F272" s="277" t="s">
        <v>1145</v>
      </c>
      <c r="G272" s="278" t="s">
        <v>559</v>
      </c>
      <c r="H272" s="278">
        <f t="shared" si="11"/>
        <v>36</v>
      </c>
      <c r="I272" s="273">
        <v>4</v>
      </c>
      <c r="J272" s="273">
        <v>25</v>
      </c>
      <c r="K272" s="273">
        <v>89</v>
      </c>
      <c r="L272" s="273" t="s">
        <v>1144</v>
      </c>
      <c r="M272" s="273" t="s">
        <v>501</v>
      </c>
    </row>
    <row r="273" spans="2:13" x14ac:dyDescent="0.25">
      <c r="B273" s="273" t="s">
        <v>1146</v>
      </c>
      <c r="C273" s="273" t="s">
        <v>1009</v>
      </c>
      <c r="D273" s="273" t="s">
        <v>1010</v>
      </c>
      <c r="E273" s="273" t="s">
        <v>1078</v>
      </c>
      <c r="F273" s="277" t="s">
        <v>1147</v>
      </c>
      <c r="G273" s="278" t="s">
        <v>559</v>
      </c>
      <c r="H273" s="278">
        <f t="shared" si="11"/>
        <v>36</v>
      </c>
      <c r="I273" s="273">
        <v>4</v>
      </c>
      <c r="J273" s="273">
        <v>25</v>
      </c>
      <c r="K273" s="273">
        <v>84</v>
      </c>
      <c r="L273" s="273" t="s">
        <v>1146</v>
      </c>
      <c r="M273" s="273" t="s">
        <v>501</v>
      </c>
    </row>
    <row r="274" spans="2:13" x14ac:dyDescent="0.25">
      <c r="B274" s="273" t="s">
        <v>1148</v>
      </c>
      <c r="C274" s="273" t="s">
        <v>1009</v>
      </c>
      <c r="D274" s="273" t="s">
        <v>1010</v>
      </c>
      <c r="E274" s="273" t="s">
        <v>1078</v>
      </c>
      <c r="F274" s="277" t="s">
        <v>1149</v>
      </c>
      <c r="G274" s="278" t="s">
        <v>559</v>
      </c>
      <c r="H274" s="278">
        <f t="shared" si="11"/>
        <v>36</v>
      </c>
      <c r="I274" s="273">
        <v>6</v>
      </c>
      <c r="J274" s="273">
        <v>25</v>
      </c>
      <c r="K274" s="273">
        <v>134</v>
      </c>
      <c r="L274" s="273" t="s">
        <v>1148</v>
      </c>
      <c r="M274" s="273" t="s">
        <v>501</v>
      </c>
    </row>
    <row r="275" spans="2:13" x14ac:dyDescent="0.25">
      <c r="B275" s="273" t="s">
        <v>1150</v>
      </c>
      <c r="C275" s="273" t="s">
        <v>1009</v>
      </c>
      <c r="D275" s="273" t="s">
        <v>1010</v>
      </c>
      <c r="E275" s="273" t="s">
        <v>1151</v>
      </c>
      <c r="F275" s="277" t="s">
        <v>1152</v>
      </c>
      <c r="G275" s="278" t="s">
        <v>559</v>
      </c>
      <c r="H275" s="278">
        <f t="shared" si="11"/>
        <v>48</v>
      </c>
      <c r="I275" s="273">
        <v>1</v>
      </c>
      <c r="J275" s="273">
        <v>32</v>
      </c>
      <c r="K275" s="273">
        <v>31</v>
      </c>
      <c r="L275" s="273" t="s">
        <v>1150</v>
      </c>
      <c r="M275" s="273" t="s">
        <v>501</v>
      </c>
    </row>
    <row r="276" spans="2:13" x14ac:dyDescent="0.25">
      <c r="B276" s="273" t="s">
        <v>1153</v>
      </c>
      <c r="C276" s="273" t="s">
        <v>1009</v>
      </c>
      <c r="D276" s="273" t="s">
        <v>1010</v>
      </c>
      <c r="E276" s="273" t="s">
        <v>1154</v>
      </c>
      <c r="F276" s="277" t="s">
        <v>1155</v>
      </c>
      <c r="G276" s="278" t="s">
        <v>559</v>
      </c>
      <c r="H276" s="278">
        <f t="shared" si="11"/>
        <v>48</v>
      </c>
      <c r="I276" s="273">
        <v>1</v>
      </c>
      <c r="J276" s="273">
        <v>30</v>
      </c>
      <c r="K276" s="273">
        <v>28</v>
      </c>
      <c r="L276" s="273" t="s">
        <v>1153</v>
      </c>
      <c r="M276" s="273" t="s">
        <v>501</v>
      </c>
    </row>
    <row r="277" spans="2:13" x14ac:dyDescent="0.25">
      <c r="B277" s="273" t="s">
        <v>1156</v>
      </c>
      <c r="C277" s="273" t="s">
        <v>1009</v>
      </c>
      <c r="D277" s="273" t="s">
        <v>1010</v>
      </c>
      <c r="E277" s="273" t="s">
        <v>1154</v>
      </c>
      <c r="F277" s="277" t="s">
        <v>1157</v>
      </c>
      <c r="G277" s="278" t="s">
        <v>559</v>
      </c>
      <c r="H277" s="278">
        <f t="shared" si="11"/>
        <v>48</v>
      </c>
      <c r="I277" s="273">
        <v>1</v>
      </c>
      <c r="J277" s="273">
        <v>30</v>
      </c>
      <c r="K277" s="273">
        <v>27</v>
      </c>
      <c r="L277" s="273" t="s">
        <v>1156</v>
      </c>
      <c r="M277" s="273" t="s">
        <v>501</v>
      </c>
    </row>
    <row r="278" spans="2:13" x14ac:dyDescent="0.25">
      <c r="B278" s="273" t="s">
        <v>1158</v>
      </c>
      <c r="C278" s="273" t="s">
        <v>1009</v>
      </c>
      <c r="D278" s="273" t="s">
        <v>1010</v>
      </c>
      <c r="E278" s="273" t="s">
        <v>1154</v>
      </c>
      <c r="F278" s="277" t="s">
        <v>1159</v>
      </c>
      <c r="G278" s="278" t="s">
        <v>559</v>
      </c>
      <c r="H278" s="278">
        <f t="shared" si="11"/>
        <v>48</v>
      </c>
      <c r="I278" s="273">
        <v>1</v>
      </c>
      <c r="J278" s="273">
        <v>30</v>
      </c>
      <c r="K278" s="273">
        <v>27</v>
      </c>
      <c r="L278" s="273" t="s">
        <v>1158</v>
      </c>
      <c r="M278" s="273" t="s">
        <v>501</v>
      </c>
    </row>
    <row r="279" spans="2:13" x14ac:dyDescent="0.25">
      <c r="B279" s="273" t="s">
        <v>1160</v>
      </c>
      <c r="C279" s="273" t="s">
        <v>1009</v>
      </c>
      <c r="D279" s="273" t="s">
        <v>1010</v>
      </c>
      <c r="E279" s="273" t="s">
        <v>1154</v>
      </c>
      <c r="F279" s="277" t="s">
        <v>1161</v>
      </c>
      <c r="G279" s="278" t="s">
        <v>559</v>
      </c>
      <c r="H279" s="278">
        <f t="shared" si="11"/>
        <v>48</v>
      </c>
      <c r="I279" s="273">
        <v>1</v>
      </c>
      <c r="J279" s="273">
        <v>30</v>
      </c>
      <c r="K279" s="273">
        <v>26</v>
      </c>
      <c r="L279" s="273" t="s">
        <v>1160</v>
      </c>
      <c r="M279" s="273" t="s">
        <v>501</v>
      </c>
    </row>
    <row r="280" spans="2:13" x14ac:dyDescent="0.25">
      <c r="B280" s="273" t="s">
        <v>1162</v>
      </c>
      <c r="C280" s="273" t="s">
        <v>1009</v>
      </c>
      <c r="D280" s="273" t="s">
        <v>1010</v>
      </c>
      <c r="E280" s="273" t="s">
        <v>1154</v>
      </c>
      <c r="F280" s="277" t="s">
        <v>1163</v>
      </c>
      <c r="G280" s="278" t="s">
        <v>559</v>
      </c>
      <c r="H280" s="278">
        <f t="shared" si="11"/>
        <v>48</v>
      </c>
      <c r="I280" s="273">
        <v>1</v>
      </c>
      <c r="J280" s="273">
        <v>30</v>
      </c>
      <c r="K280" s="273">
        <v>25</v>
      </c>
      <c r="L280" s="273" t="s">
        <v>1162</v>
      </c>
      <c r="M280" s="273" t="s">
        <v>501</v>
      </c>
    </row>
    <row r="281" spans="2:13" x14ac:dyDescent="0.25">
      <c r="B281" s="273" t="s">
        <v>1164</v>
      </c>
      <c r="C281" s="273" t="s">
        <v>1009</v>
      </c>
      <c r="D281" s="273" t="s">
        <v>1010</v>
      </c>
      <c r="E281" s="273" t="s">
        <v>1154</v>
      </c>
      <c r="F281" s="277" t="s">
        <v>1165</v>
      </c>
      <c r="G281" s="278" t="s">
        <v>559</v>
      </c>
      <c r="H281" s="278">
        <f t="shared" si="11"/>
        <v>48</v>
      </c>
      <c r="I281" s="273">
        <v>1</v>
      </c>
      <c r="J281" s="273">
        <v>30</v>
      </c>
      <c r="K281" s="273">
        <v>24</v>
      </c>
      <c r="L281" s="273" t="s">
        <v>1164</v>
      </c>
      <c r="M281" s="273" t="s">
        <v>501</v>
      </c>
    </row>
    <row r="282" spans="2:13" x14ac:dyDescent="0.25">
      <c r="B282" s="273" t="s">
        <v>1166</v>
      </c>
      <c r="C282" s="273" t="s">
        <v>1009</v>
      </c>
      <c r="D282" s="273" t="s">
        <v>1010</v>
      </c>
      <c r="E282" s="273" t="s">
        <v>1154</v>
      </c>
      <c r="F282" s="277" t="s">
        <v>1167</v>
      </c>
      <c r="G282" s="278" t="s">
        <v>559</v>
      </c>
      <c r="H282" s="278">
        <f t="shared" si="11"/>
        <v>48</v>
      </c>
      <c r="I282" s="273">
        <v>1</v>
      </c>
      <c r="J282" s="273">
        <v>30</v>
      </c>
      <c r="K282" s="273">
        <v>24</v>
      </c>
      <c r="L282" s="273" t="s">
        <v>1166</v>
      </c>
      <c r="M282" s="273" t="s">
        <v>501</v>
      </c>
    </row>
    <row r="283" spans="2:13" x14ac:dyDescent="0.25">
      <c r="B283" s="273" t="s">
        <v>1168</v>
      </c>
      <c r="C283" s="273" t="s">
        <v>1009</v>
      </c>
      <c r="D283" s="273" t="s">
        <v>1010</v>
      </c>
      <c r="E283" s="273" t="s">
        <v>1154</v>
      </c>
      <c r="F283" s="277" t="s">
        <v>1169</v>
      </c>
      <c r="G283" s="278" t="s">
        <v>559</v>
      </c>
      <c r="H283" s="278">
        <f t="shared" si="11"/>
        <v>48</v>
      </c>
      <c r="I283" s="273">
        <v>1</v>
      </c>
      <c r="J283" s="273">
        <v>30</v>
      </c>
      <c r="K283" s="273">
        <v>23</v>
      </c>
      <c r="L283" s="273" t="s">
        <v>1168</v>
      </c>
      <c r="M283" s="273" t="s">
        <v>501</v>
      </c>
    </row>
    <row r="284" spans="2:13" x14ac:dyDescent="0.25">
      <c r="B284" s="273" t="s">
        <v>1170</v>
      </c>
      <c r="C284" s="273" t="s">
        <v>1009</v>
      </c>
      <c r="D284" s="273" t="s">
        <v>1010</v>
      </c>
      <c r="E284" s="273" t="s">
        <v>1154</v>
      </c>
      <c r="F284" s="277" t="s">
        <v>1171</v>
      </c>
      <c r="G284" s="278" t="s">
        <v>559</v>
      </c>
      <c r="H284" s="278">
        <f t="shared" si="11"/>
        <v>48</v>
      </c>
      <c r="I284" s="273">
        <v>1</v>
      </c>
      <c r="J284" s="273">
        <v>30</v>
      </c>
      <c r="K284" s="273">
        <v>37</v>
      </c>
      <c r="L284" s="273" t="s">
        <v>1170</v>
      </c>
      <c r="M284" s="273" t="s">
        <v>501</v>
      </c>
    </row>
    <row r="285" spans="2:13" x14ac:dyDescent="0.25">
      <c r="B285" s="273" t="s">
        <v>1172</v>
      </c>
      <c r="C285" s="273" t="s">
        <v>1009</v>
      </c>
      <c r="D285" s="273" t="s">
        <v>1010</v>
      </c>
      <c r="E285" s="273" t="s">
        <v>1154</v>
      </c>
      <c r="F285" s="277" t="s">
        <v>1173</v>
      </c>
      <c r="G285" s="278" t="s">
        <v>559</v>
      </c>
      <c r="H285" s="278">
        <f t="shared" si="11"/>
        <v>48</v>
      </c>
      <c r="I285" s="273">
        <v>1</v>
      </c>
      <c r="J285" s="273">
        <v>30</v>
      </c>
      <c r="K285" s="273">
        <v>36</v>
      </c>
      <c r="L285" s="273" t="s">
        <v>1172</v>
      </c>
      <c r="M285" s="273" t="s">
        <v>501</v>
      </c>
    </row>
    <row r="286" spans="2:13" x14ac:dyDescent="0.25">
      <c r="B286" s="273" t="s">
        <v>1174</v>
      </c>
      <c r="C286" s="273" t="s">
        <v>1009</v>
      </c>
      <c r="D286" s="273" t="s">
        <v>1010</v>
      </c>
      <c r="E286" s="273" t="s">
        <v>1154</v>
      </c>
      <c r="F286" s="277" t="s">
        <v>1175</v>
      </c>
      <c r="G286" s="278" t="s">
        <v>559</v>
      </c>
      <c r="H286" s="278">
        <f t="shared" si="11"/>
        <v>48</v>
      </c>
      <c r="I286" s="273">
        <v>1</v>
      </c>
      <c r="J286" s="273">
        <v>30</v>
      </c>
      <c r="K286" s="273">
        <v>36</v>
      </c>
      <c r="L286" s="273" t="s">
        <v>1174</v>
      </c>
      <c r="M286" s="273" t="s">
        <v>501</v>
      </c>
    </row>
    <row r="287" spans="2:13" x14ac:dyDescent="0.25">
      <c r="B287" s="273" t="s">
        <v>1176</v>
      </c>
      <c r="C287" s="273" t="s">
        <v>1009</v>
      </c>
      <c r="D287" s="273" t="s">
        <v>1010</v>
      </c>
      <c r="E287" s="273" t="s">
        <v>1177</v>
      </c>
      <c r="F287" s="277" t="s">
        <v>1155</v>
      </c>
      <c r="G287" s="278" t="s">
        <v>559</v>
      </c>
      <c r="H287" s="278">
        <f t="shared" si="11"/>
        <v>48</v>
      </c>
      <c r="I287" s="273">
        <v>1</v>
      </c>
      <c r="J287" s="273">
        <v>28</v>
      </c>
      <c r="K287" s="273">
        <v>26</v>
      </c>
      <c r="L287" s="273" t="s">
        <v>1176</v>
      </c>
      <c r="M287" s="273" t="s">
        <v>501</v>
      </c>
    </row>
    <row r="288" spans="2:13" x14ac:dyDescent="0.25">
      <c r="B288" s="273" t="s">
        <v>1178</v>
      </c>
      <c r="C288" s="273" t="s">
        <v>1009</v>
      </c>
      <c r="D288" s="273" t="s">
        <v>1010</v>
      </c>
      <c r="E288" s="273" t="s">
        <v>1177</v>
      </c>
      <c r="F288" s="277" t="s">
        <v>1157</v>
      </c>
      <c r="G288" s="278" t="s">
        <v>559</v>
      </c>
      <c r="H288" s="278">
        <f t="shared" si="11"/>
        <v>48</v>
      </c>
      <c r="I288" s="273">
        <v>1</v>
      </c>
      <c r="J288" s="273">
        <v>28</v>
      </c>
      <c r="K288" s="273">
        <v>25</v>
      </c>
      <c r="L288" s="273" t="s">
        <v>1178</v>
      </c>
      <c r="M288" s="273" t="s">
        <v>501</v>
      </c>
    </row>
    <row r="289" spans="2:13" x14ac:dyDescent="0.25">
      <c r="B289" s="273" t="s">
        <v>1179</v>
      </c>
      <c r="C289" s="273" t="s">
        <v>1009</v>
      </c>
      <c r="D289" s="273" t="s">
        <v>1010</v>
      </c>
      <c r="E289" s="273" t="s">
        <v>1177</v>
      </c>
      <c r="F289" s="277" t="s">
        <v>1159</v>
      </c>
      <c r="G289" s="278" t="s">
        <v>559</v>
      </c>
      <c r="H289" s="278">
        <f t="shared" si="11"/>
        <v>48</v>
      </c>
      <c r="I289" s="273">
        <v>1</v>
      </c>
      <c r="J289" s="273">
        <v>28</v>
      </c>
      <c r="K289" s="273">
        <v>25</v>
      </c>
      <c r="L289" s="273" t="s">
        <v>1179</v>
      </c>
      <c r="M289" s="273" t="s">
        <v>501</v>
      </c>
    </row>
    <row r="290" spans="2:13" x14ac:dyDescent="0.25">
      <c r="B290" s="273" t="s">
        <v>1180</v>
      </c>
      <c r="C290" s="273" t="s">
        <v>1009</v>
      </c>
      <c r="D290" s="273" t="s">
        <v>1010</v>
      </c>
      <c r="E290" s="273" t="s">
        <v>1177</v>
      </c>
      <c r="F290" s="277" t="s">
        <v>1161</v>
      </c>
      <c r="G290" s="278" t="s">
        <v>559</v>
      </c>
      <c r="H290" s="278">
        <f t="shared" si="11"/>
        <v>48</v>
      </c>
      <c r="I290" s="273">
        <v>1</v>
      </c>
      <c r="J290" s="273">
        <v>28</v>
      </c>
      <c r="K290" s="273">
        <v>24</v>
      </c>
      <c r="L290" s="273" t="s">
        <v>1180</v>
      </c>
      <c r="M290" s="273" t="s">
        <v>501</v>
      </c>
    </row>
    <row r="291" spans="2:13" x14ac:dyDescent="0.25">
      <c r="B291" s="273" t="s">
        <v>1181</v>
      </c>
      <c r="C291" s="273" t="s">
        <v>1009</v>
      </c>
      <c r="D291" s="273" t="s">
        <v>1010</v>
      </c>
      <c r="E291" s="273" t="s">
        <v>1177</v>
      </c>
      <c r="F291" s="277" t="s">
        <v>1163</v>
      </c>
      <c r="G291" s="278" t="s">
        <v>559</v>
      </c>
      <c r="H291" s="278">
        <f t="shared" si="11"/>
        <v>48</v>
      </c>
      <c r="I291" s="273">
        <v>1</v>
      </c>
      <c r="J291" s="273">
        <v>28</v>
      </c>
      <c r="K291" s="273">
        <v>23</v>
      </c>
      <c r="L291" s="273" t="s">
        <v>1181</v>
      </c>
      <c r="M291" s="273" t="s">
        <v>501</v>
      </c>
    </row>
    <row r="292" spans="2:13" x14ac:dyDescent="0.25">
      <c r="B292" s="273" t="s">
        <v>1182</v>
      </c>
      <c r="C292" s="273" t="s">
        <v>1009</v>
      </c>
      <c r="D292" s="273" t="s">
        <v>1010</v>
      </c>
      <c r="E292" s="273" t="s">
        <v>1177</v>
      </c>
      <c r="F292" s="277" t="s">
        <v>1165</v>
      </c>
      <c r="G292" s="278" t="s">
        <v>559</v>
      </c>
      <c r="H292" s="278">
        <f t="shared" si="11"/>
        <v>48</v>
      </c>
      <c r="I292" s="273">
        <v>1</v>
      </c>
      <c r="J292" s="273">
        <v>28</v>
      </c>
      <c r="K292" s="273">
        <v>22</v>
      </c>
      <c r="L292" s="273" t="s">
        <v>1182</v>
      </c>
      <c r="M292" s="273" t="s">
        <v>501</v>
      </c>
    </row>
    <row r="293" spans="2:13" x14ac:dyDescent="0.25">
      <c r="B293" s="273" t="s">
        <v>1183</v>
      </c>
      <c r="C293" s="273" t="s">
        <v>1009</v>
      </c>
      <c r="D293" s="273" t="s">
        <v>1010</v>
      </c>
      <c r="E293" s="273" t="s">
        <v>1177</v>
      </c>
      <c r="F293" s="277" t="s">
        <v>1167</v>
      </c>
      <c r="G293" s="278" t="s">
        <v>559</v>
      </c>
      <c r="H293" s="278">
        <f t="shared" si="11"/>
        <v>48</v>
      </c>
      <c r="I293" s="273">
        <v>1</v>
      </c>
      <c r="J293" s="273">
        <v>28</v>
      </c>
      <c r="K293" s="273">
        <v>22</v>
      </c>
      <c r="L293" s="273" t="s">
        <v>1183</v>
      </c>
      <c r="M293" s="273" t="s">
        <v>501</v>
      </c>
    </row>
    <row r="294" spans="2:13" x14ac:dyDescent="0.25">
      <c r="B294" s="273" t="s">
        <v>1184</v>
      </c>
      <c r="C294" s="273" t="s">
        <v>1009</v>
      </c>
      <c r="D294" s="273" t="s">
        <v>1010</v>
      </c>
      <c r="E294" s="273" t="s">
        <v>1177</v>
      </c>
      <c r="F294" s="277" t="s">
        <v>1169</v>
      </c>
      <c r="G294" s="278" t="s">
        <v>559</v>
      </c>
      <c r="H294" s="278">
        <f t="shared" si="11"/>
        <v>48</v>
      </c>
      <c r="I294" s="273">
        <v>1</v>
      </c>
      <c r="J294" s="273">
        <v>28</v>
      </c>
      <c r="K294" s="273">
        <v>21</v>
      </c>
      <c r="L294" s="273" t="s">
        <v>1184</v>
      </c>
      <c r="M294" s="273" t="s">
        <v>501</v>
      </c>
    </row>
    <row r="295" spans="2:13" x14ac:dyDescent="0.25">
      <c r="B295" s="273" t="s">
        <v>1185</v>
      </c>
      <c r="C295" s="273" t="s">
        <v>1009</v>
      </c>
      <c r="D295" s="273" t="s">
        <v>1010</v>
      </c>
      <c r="E295" s="273" t="s">
        <v>1177</v>
      </c>
      <c r="F295" s="277" t="s">
        <v>1171</v>
      </c>
      <c r="G295" s="278" t="s">
        <v>559</v>
      </c>
      <c r="H295" s="278">
        <f t="shared" si="11"/>
        <v>48</v>
      </c>
      <c r="I295" s="273">
        <v>1</v>
      </c>
      <c r="J295" s="273">
        <v>28</v>
      </c>
      <c r="K295" s="273">
        <v>33</v>
      </c>
      <c r="L295" s="273" t="s">
        <v>1185</v>
      </c>
      <c r="M295" s="273" t="s">
        <v>501</v>
      </c>
    </row>
    <row r="296" spans="2:13" x14ac:dyDescent="0.25">
      <c r="B296" s="273" t="s">
        <v>1186</v>
      </c>
      <c r="C296" s="273" t="s">
        <v>1009</v>
      </c>
      <c r="D296" s="273" t="s">
        <v>1010</v>
      </c>
      <c r="E296" s="273" t="s">
        <v>1177</v>
      </c>
      <c r="F296" s="277" t="s">
        <v>1173</v>
      </c>
      <c r="G296" s="278" t="s">
        <v>559</v>
      </c>
      <c r="H296" s="278">
        <f t="shared" si="11"/>
        <v>48</v>
      </c>
      <c r="I296" s="273">
        <v>1</v>
      </c>
      <c r="J296" s="273">
        <v>28</v>
      </c>
      <c r="K296" s="273">
        <v>32</v>
      </c>
      <c r="L296" s="273" t="s">
        <v>1186</v>
      </c>
      <c r="M296" s="273" t="s">
        <v>501</v>
      </c>
    </row>
    <row r="297" spans="2:13" x14ac:dyDescent="0.25">
      <c r="B297" s="273" t="s">
        <v>1187</v>
      </c>
      <c r="C297" s="273" t="s">
        <v>1009</v>
      </c>
      <c r="D297" s="273" t="s">
        <v>1010</v>
      </c>
      <c r="E297" s="273" t="s">
        <v>1177</v>
      </c>
      <c r="F297" s="277" t="s">
        <v>1175</v>
      </c>
      <c r="G297" s="278" t="s">
        <v>559</v>
      </c>
      <c r="H297" s="278">
        <f t="shared" si="11"/>
        <v>48</v>
      </c>
      <c r="I297" s="273">
        <v>1</v>
      </c>
      <c r="J297" s="273">
        <v>28</v>
      </c>
      <c r="K297" s="273">
        <v>32</v>
      </c>
      <c r="L297" s="273" t="s">
        <v>1187</v>
      </c>
      <c r="M297" s="273" t="s">
        <v>501</v>
      </c>
    </row>
    <row r="298" spans="2:13" x14ac:dyDescent="0.25">
      <c r="B298" s="273" t="s">
        <v>1188</v>
      </c>
      <c r="C298" s="273" t="s">
        <v>1009</v>
      </c>
      <c r="D298" s="273" t="s">
        <v>1010</v>
      </c>
      <c r="E298" s="273" t="s">
        <v>1151</v>
      </c>
      <c r="F298" s="277" t="s">
        <v>1189</v>
      </c>
      <c r="G298" s="278" t="s">
        <v>559</v>
      </c>
      <c r="H298" s="278">
        <f t="shared" si="11"/>
        <v>48</v>
      </c>
      <c r="I298" s="273">
        <v>1</v>
      </c>
      <c r="J298" s="273">
        <v>32</v>
      </c>
      <c r="K298" s="273">
        <v>30</v>
      </c>
      <c r="L298" s="273" t="s">
        <v>1188</v>
      </c>
      <c r="M298" s="273" t="s">
        <v>501</v>
      </c>
    </row>
    <row r="299" spans="2:13" x14ac:dyDescent="0.25">
      <c r="B299" s="273" t="s">
        <v>1190</v>
      </c>
      <c r="C299" s="273" t="s">
        <v>1009</v>
      </c>
      <c r="D299" s="273" t="s">
        <v>1010</v>
      </c>
      <c r="E299" s="273" t="s">
        <v>1151</v>
      </c>
      <c r="F299" s="277" t="s">
        <v>1191</v>
      </c>
      <c r="G299" s="278" t="s">
        <v>559</v>
      </c>
      <c r="H299" s="278">
        <f t="shared" si="11"/>
        <v>48</v>
      </c>
      <c r="I299" s="273">
        <v>1</v>
      </c>
      <c r="J299" s="273">
        <v>32</v>
      </c>
      <c r="K299" s="273">
        <v>33</v>
      </c>
      <c r="L299" s="273" t="s">
        <v>1190</v>
      </c>
      <c r="M299" s="273" t="s">
        <v>501</v>
      </c>
    </row>
    <row r="300" spans="2:13" x14ac:dyDescent="0.25">
      <c r="B300" s="273" t="s">
        <v>1192</v>
      </c>
      <c r="C300" s="273" t="s">
        <v>1009</v>
      </c>
      <c r="D300" s="273" t="s">
        <v>1010</v>
      </c>
      <c r="E300" s="273" t="s">
        <v>1151</v>
      </c>
      <c r="F300" s="277" t="s">
        <v>1193</v>
      </c>
      <c r="G300" s="278" t="s">
        <v>559</v>
      </c>
      <c r="H300" s="278">
        <f t="shared" si="11"/>
        <v>48</v>
      </c>
      <c r="I300" s="273">
        <v>1</v>
      </c>
      <c r="J300" s="273">
        <v>32</v>
      </c>
      <c r="K300" s="273">
        <v>26</v>
      </c>
      <c r="L300" s="273" t="s">
        <v>1192</v>
      </c>
      <c r="M300" s="273" t="s">
        <v>501</v>
      </c>
    </row>
    <row r="301" spans="2:13" x14ac:dyDescent="0.25">
      <c r="B301" s="273" t="s">
        <v>1194</v>
      </c>
      <c r="C301" s="273" t="s">
        <v>1009</v>
      </c>
      <c r="D301" s="273" t="s">
        <v>1010</v>
      </c>
      <c r="E301" s="273" t="s">
        <v>1151</v>
      </c>
      <c r="F301" s="277" t="s">
        <v>1195</v>
      </c>
      <c r="G301" s="278" t="s">
        <v>559</v>
      </c>
      <c r="H301" s="278">
        <f t="shared" si="11"/>
        <v>48</v>
      </c>
      <c r="I301" s="273">
        <v>1</v>
      </c>
      <c r="J301" s="273">
        <v>32</v>
      </c>
      <c r="K301" s="273">
        <v>30</v>
      </c>
      <c r="L301" s="273" t="s">
        <v>1194</v>
      </c>
      <c r="M301" s="273" t="s">
        <v>501</v>
      </c>
    </row>
    <row r="302" spans="2:13" x14ac:dyDescent="0.25">
      <c r="B302" s="273" t="s">
        <v>1196</v>
      </c>
      <c r="C302" s="273" t="s">
        <v>1009</v>
      </c>
      <c r="D302" s="273" t="s">
        <v>1010</v>
      </c>
      <c r="E302" s="273" t="s">
        <v>1151</v>
      </c>
      <c r="F302" s="277" t="s">
        <v>1197</v>
      </c>
      <c r="G302" s="278" t="s">
        <v>559</v>
      </c>
      <c r="H302" s="278">
        <f t="shared" si="11"/>
        <v>48</v>
      </c>
      <c r="I302" s="273">
        <v>1</v>
      </c>
      <c r="J302" s="273">
        <v>32</v>
      </c>
      <c r="K302" s="273">
        <v>31</v>
      </c>
      <c r="L302" s="273" t="s">
        <v>1196</v>
      </c>
      <c r="M302" s="273" t="s">
        <v>501</v>
      </c>
    </row>
    <row r="303" spans="2:13" x14ac:dyDescent="0.25">
      <c r="B303" s="273" t="s">
        <v>1198</v>
      </c>
      <c r="C303" s="273" t="s">
        <v>1009</v>
      </c>
      <c r="D303" s="273" t="s">
        <v>1010</v>
      </c>
      <c r="E303" s="273" t="s">
        <v>1151</v>
      </c>
      <c r="F303" s="277" t="s">
        <v>1199</v>
      </c>
      <c r="G303" s="278" t="s">
        <v>559</v>
      </c>
      <c r="H303" s="278">
        <f t="shared" si="11"/>
        <v>48</v>
      </c>
      <c r="I303" s="273">
        <v>1</v>
      </c>
      <c r="J303" s="273">
        <v>32</v>
      </c>
      <c r="K303" s="273">
        <v>26</v>
      </c>
      <c r="L303" s="273" t="s">
        <v>1198</v>
      </c>
      <c r="M303" s="273" t="s">
        <v>501</v>
      </c>
    </row>
    <row r="304" spans="2:13" x14ac:dyDescent="0.25">
      <c r="B304" s="273" t="s">
        <v>1200</v>
      </c>
      <c r="C304" s="273" t="s">
        <v>1009</v>
      </c>
      <c r="D304" s="273" t="s">
        <v>1010</v>
      </c>
      <c r="E304" s="273" t="s">
        <v>1151</v>
      </c>
      <c r="F304" s="277" t="s">
        <v>1201</v>
      </c>
      <c r="G304" s="278" t="s">
        <v>559</v>
      </c>
      <c r="H304" s="278">
        <f t="shared" si="11"/>
        <v>48</v>
      </c>
      <c r="I304" s="273">
        <v>1</v>
      </c>
      <c r="J304" s="273">
        <v>32</v>
      </c>
      <c r="K304" s="273">
        <v>28</v>
      </c>
      <c r="L304" s="273" t="s">
        <v>1200</v>
      </c>
      <c r="M304" s="273" t="s">
        <v>501</v>
      </c>
    </row>
    <row r="305" spans="2:13" x14ac:dyDescent="0.25">
      <c r="B305" s="273" t="s">
        <v>1202</v>
      </c>
      <c r="C305" s="273" t="s">
        <v>1009</v>
      </c>
      <c r="D305" s="273" t="s">
        <v>1010</v>
      </c>
      <c r="E305" s="273" t="s">
        <v>1151</v>
      </c>
      <c r="F305" s="277" t="s">
        <v>1203</v>
      </c>
      <c r="G305" s="278" t="s">
        <v>559</v>
      </c>
      <c r="H305" s="278">
        <f t="shared" si="11"/>
        <v>48</v>
      </c>
      <c r="I305" s="273">
        <v>1</v>
      </c>
      <c r="J305" s="273">
        <v>32</v>
      </c>
      <c r="K305" s="273">
        <v>26</v>
      </c>
      <c r="L305" s="273" t="s">
        <v>1202</v>
      </c>
      <c r="M305" s="273" t="s">
        <v>501</v>
      </c>
    </row>
    <row r="306" spans="2:13" x14ac:dyDescent="0.25">
      <c r="B306" s="273" t="s">
        <v>1204</v>
      </c>
      <c r="C306" s="273" t="s">
        <v>1009</v>
      </c>
      <c r="D306" s="273" t="s">
        <v>1010</v>
      </c>
      <c r="E306" s="273" t="s">
        <v>1151</v>
      </c>
      <c r="F306" s="277" t="s">
        <v>1205</v>
      </c>
      <c r="G306" s="278" t="s">
        <v>559</v>
      </c>
      <c r="H306" s="278">
        <f t="shared" si="11"/>
        <v>48</v>
      </c>
      <c r="I306" s="273">
        <v>1</v>
      </c>
      <c r="J306" s="273">
        <v>32</v>
      </c>
      <c r="K306" s="273">
        <v>36</v>
      </c>
      <c r="L306" s="273" t="s">
        <v>1204</v>
      </c>
      <c r="M306" s="273" t="s">
        <v>501</v>
      </c>
    </row>
    <row r="307" spans="2:13" x14ac:dyDescent="0.25">
      <c r="B307" s="273" t="s">
        <v>1206</v>
      </c>
      <c r="C307" s="273" t="s">
        <v>1009</v>
      </c>
      <c r="D307" s="273" t="s">
        <v>1010</v>
      </c>
      <c r="E307" s="273" t="s">
        <v>1151</v>
      </c>
      <c r="F307" s="277" t="s">
        <v>1207</v>
      </c>
      <c r="G307" s="278" t="s">
        <v>1044</v>
      </c>
      <c r="H307" s="278">
        <f t="shared" si="11"/>
        <v>48</v>
      </c>
      <c r="I307" s="273">
        <v>1</v>
      </c>
      <c r="J307" s="273">
        <v>32</v>
      </c>
      <c r="K307" s="273">
        <v>35</v>
      </c>
      <c r="L307" s="273" t="s">
        <v>1206</v>
      </c>
      <c r="M307" s="273" t="s">
        <v>501</v>
      </c>
    </row>
    <row r="308" spans="2:13" x14ac:dyDescent="0.25">
      <c r="B308" s="273" t="s">
        <v>1208</v>
      </c>
      <c r="C308" s="273" t="s">
        <v>1009</v>
      </c>
      <c r="D308" s="273" t="s">
        <v>1010</v>
      </c>
      <c r="E308" s="273" t="s">
        <v>1151</v>
      </c>
      <c r="F308" s="277" t="s">
        <v>1209</v>
      </c>
      <c r="G308" s="278" t="s">
        <v>559</v>
      </c>
      <c r="H308" s="278">
        <f t="shared" si="11"/>
        <v>48</v>
      </c>
      <c r="I308" s="273">
        <v>1</v>
      </c>
      <c r="J308" s="273">
        <v>32</v>
      </c>
      <c r="K308" s="273">
        <v>32</v>
      </c>
      <c r="L308" s="273" t="s">
        <v>1208</v>
      </c>
      <c r="M308" s="273" t="s">
        <v>501</v>
      </c>
    </row>
    <row r="309" spans="2:13" x14ac:dyDescent="0.25">
      <c r="B309" s="273" t="s">
        <v>1210</v>
      </c>
      <c r="C309" s="273" t="s">
        <v>1009</v>
      </c>
      <c r="D309" s="273" t="s">
        <v>1010</v>
      </c>
      <c r="E309" s="273" t="s">
        <v>1151</v>
      </c>
      <c r="F309" s="277" t="s">
        <v>1211</v>
      </c>
      <c r="G309" s="278" t="s">
        <v>559</v>
      </c>
      <c r="H309" s="278">
        <f t="shared" si="11"/>
        <v>48</v>
      </c>
      <c r="I309" s="273">
        <v>1</v>
      </c>
      <c r="J309" s="273">
        <v>32</v>
      </c>
      <c r="K309" s="273">
        <v>30</v>
      </c>
      <c r="L309" s="273" t="s">
        <v>1210</v>
      </c>
      <c r="M309" s="273" t="s">
        <v>501</v>
      </c>
    </row>
    <row r="310" spans="2:13" x14ac:dyDescent="0.25">
      <c r="B310" s="273" t="s">
        <v>1212</v>
      </c>
      <c r="C310" s="273" t="s">
        <v>1009</v>
      </c>
      <c r="D310" s="273" t="s">
        <v>1010</v>
      </c>
      <c r="E310" s="273" t="s">
        <v>1151</v>
      </c>
      <c r="F310" s="277" t="s">
        <v>1213</v>
      </c>
      <c r="G310" s="278" t="s">
        <v>559</v>
      </c>
      <c r="H310" s="278">
        <f t="shared" si="11"/>
        <v>48</v>
      </c>
      <c r="I310" s="273">
        <v>1</v>
      </c>
      <c r="J310" s="273">
        <v>32</v>
      </c>
      <c r="K310" s="273">
        <v>39</v>
      </c>
      <c r="L310" s="273" t="s">
        <v>1212</v>
      </c>
      <c r="M310" s="273" t="s">
        <v>501</v>
      </c>
    </row>
    <row r="311" spans="2:13" x14ac:dyDescent="0.25">
      <c r="B311" s="273" t="s">
        <v>1214</v>
      </c>
      <c r="C311" s="273" t="s">
        <v>1009</v>
      </c>
      <c r="D311" s="273" t="s">
        <v>1010</v>
      </c>
      <c r="E311" s="273" t="s">
        <v>1151</v>
      </c>
      <c r="F311" s="277" t="s">
        <v>1215</v>
      </c>
      <c r="G311" s="278" t="s">
        <v>559</v>
      </c>
      <c r="H311" s="278">
        <f t="shared" si="11"/>
        <v>48</v>
      </c>
      <c r="I311" s="273">
        <v>1</v>
      </c>
      <c r="J311" s="273">
        <v>32</v>
      </c>
      <c r="K311" s="273">
        <v>27</v>
      </c>
      <c r="L311" s="273" t="s">
        <v>1214</v>
      </c>
      <c r="M311" s="273" t="s">
        <v>501</v>
      </c>
    </row>
    <row r="312" spans="2:13" x14ac:dyDescent="0.25">
      <c r="B312" s="273" t="s">
        <v>1216</v>
      </c>
      <c r="C312" s="273" t="s">
        <v>1009</v>
      </c>
      <c r="D312" s="273" t="s">
        <v>1010</v>
      </c>
      <c r="E312" s="273" t="s">
        <v>1151</v>
      </c>
      <c r="F312" s="277" t="s">
        <v>1217</v>
      </c>
      <c r="G312" s="278" t="s">
        <v>559</v>
      </c>
      <c r="H312" s="278">
        <f t="shared" si="11"/>
        <v>48</v>
      </c>
      <c r="I312" s="273">
        <v>1</v>
      </c>
      <c r="J312" s="273">
        <v>32</v>
      </c>
      <c r="K312" s="273">
        <v>31</v>
      </c>
      <c r="L312" s="273" t="s">
        <v>1216</v>
      </c>
      <c r="M312" s="273" t="s">
        <v>501</v>
      </c>
    </row>
    <row r="313" spans="2:13" x14ac:dyDescent="0.25">
      <c r="B313" s="273" t="s">
        <v>1218</v>
      </c>
      <c r="C313" s="273" t="s">
        <v>1009</v>
      </c>
      <c r="D313" s="273" t="s">
        <v>1010</v>
      </c>
      <c r="E313" s="273" t="s">
        <v>1151</v>
      </c>
      <c r="F313" s="277" t="s">
        <v>1219</v>
      </c>
      <c r="G313" s="278" t="s">
        <v>559</v>
      </c>
      <c r="H313" s="278">
        <f t="shared" si="11"/>
        <v>48</v>
      </c>
      <c r="I313" s="273">
        <v>1</v>
      </c>
      <c r="J313" s="273">
        <v>32</v>
      </c>
      <c r="K313" s="273">
        <v>33</v>
      </c>
      <c r="L313" s="273" t="s">
        <v>1218</v>
      </c>
      <c r="M313" s="273" t="s">
        <v>501</v>
      </c>
    </row>
    <row r="314" spans="2:13" x14ac:dyDescent="0.25">
      <c r="B314" s="273" t="s">
        <v>1220</v>
      </c>
      <c r="C314" s="273" t="s">
        <v>1009</v>
      </c>
      <c r="D314" s="273" t="s">
        <v>1010</v>
      </c>
      <c r="E314" s="273" t="s">
        <v>1151</v>
      </c>
      <c r="F314" s="277" t="s">
        <v>1221</v>
      </c>
      <c r="G314" s="278" t="s">
        <v>559</v>
      </c>
      <c r="H314" s="278">
        <f t="shared" si="11"/>
        <v>48</v>
      </c>
      <c r="I314" s="273">
        <v>1</v>
      </c>
      <c r="J314" s="273">
        <v>32</v>
      </c>
      <c r="K314" s="273">
        <v>25</v>
      </c>
      <c r="L314" s="273" t="s">
        <v>1220</v>
      </c>
      <c r="M314" s="273" t="s">
        <v>501</v>
      </c>
    </row>
    <row r="315" spans="2:13" x14ac:dyDescent="0.25">
      <c r="B315" s="273" t="s">
        <v>1222</v>
      </c>
      <c r="C315" s="273" t="s">
        <v>1009</v>
      </c>
      <c r="D315" s="273" t="s">
        <v>1010</v>
      </c>
      <c r="E315" s="273" t="s">
        <v>1151</v>
      </c>
      <c r="F315" s="277" t="s">
        <v>1223</v>
      </c>
      <c r="G315" s="278" t="s">
        <v>559</v>
      </c>
      <c r="H315" s="278">
        <f t="shared" si="11"/>
        <v>48</v>
      </c>
      <c r="I315" s="273">
        <v>1</v>
      </c>
      <c r="J315" s="273">
        <v>32</v>
      </c>
      <c r="K315" s="273">
        <v>30</v>
      </c>
      <c r="L315" s="273" t="s">
        <v>1222</v>
      </c>
      <c r="M315" s="273" t="s">
        <v>501</v>
      </c>
    </row>
    <row r="316" spans="2:13" x14ac:dyDescent="0.25">
      <c r="B316" s="273" t="s">
        <v>1224</v>
      </c>
      <c r="C316" s="273" t="s">
        <v>1009</v>
      </c>
      <c r="D316" s="273" t="s">
        <v>1010</v>
      </c>
      <c r="E316" s="273" t="s">
        <v>1151</v>
      </c>
      <c r="F316" s="277" t="s">
        <v>1225</v>
      </c>
      <c r="G316" s="278" t="s">
        <v>559</v>
      </c>
      <c r="H316" s="278">
        <f t="shared" si="11"/>
        <v>48</v>
      </c>
      <c r="I316" s="273">
        <v>1</v>
      </c>
      <c r="J316" s="273">
        <v>32</v>
      </c>
      <c r="K316" s="273">
        <v>26</v>
      </c>
      <c r="L316" s="273" t="s">
        <v>1224</v>
      </c>
      <c r="M316" s="273" t="s">
        <v>501</v>
      </c>
    </row>
    <row r="317" spans="2:13" x14ac:dyDescent="0.25">
      <c r="B317" s="273" t="s">
        <v>1226</v>
      </c>
      <c r="C317" s="273" t="s">
        <v>1009</v>
      </c>
      <c r="D317" s="273" t="s">
        <v>1010</v>
      </c>
      <c r="E317" s="273" t="s">
        <v>1151</v>
      </c>
      <c r="F317" s="277" t="s">
        <v>1227</v>
      </c>
      <c r="G317" s="278" t="s">
        <v>559</v>
      </c>
      <c r="H317" s="278">
        <f t="shared" si="11"/>
        <v>48</v>
      </c>
      <c r="I317" s="273">
        <v>1</v>
      </c>
      <c r="J317" s="273">
        <v>32</v>
      </c>
      <c r="K317" s="273">
        <v>39</v>
      </c>
      <c r="L317" s="273" t="s">
        <v>1226</v>
      </c>
      <c r="M317" s="273" t="s">
        <v>501</v>
      </c>
    </row>
    <row r="318" spans="2:13" x14ac:dyDescent="0.25">
      <c r="B318" s="273" t="s">
        <v>1228</v>
      </c>
      <c r="C318" s="273" t="s">
        <v>1009</v>
      </c>
      <c r="D318" s="273" t="s">
        <v>1010</v>
      </c>
      <c r="E318" s="273" t="s">
        <v>1151</v>
      </c>
      <c r="F318" s="277" t="s">
        <v>1229</v>
      </c>
      <c r="G318" s="278" t="s">
        <v>559</v>
      </c>
      <c r="H318" s="278">
        <f t="shared" si="11"/>
        <v>48</v>
      </c>
      <c r="I318" s="273">
        <v>1</v>
      </c>
      <c r="J318" s="273">
        <v>32</v>
      </c>
      <c r="K318" s="273">
        <v>27</v>
      </c>
      <c r="L318" s="273" t="s">
        <v>1228</v>
      </c>
      <c r="M318" s="273" t="s">
        <v>501</v>
      </c>
    </row>
    <row r="319" spans="2:13" x14ac:dyDescent="0.25">
      <c r="B319" s="272" t="s">
        <v>1230</v>
      </c>
      <c r="C319" s="273" t="s">
        <v>1009</v>
      </c>
      <c r="D319" s="273" t="s">
        <v>1010</v>
      </c>
      <c r="E319" s="272" t="s">
        <v>1078</v>
      </c>
      <c r="F319" s="275" t="s">
        <v>1231</v>
      </c>
      <c r="G319" s="271" t="s">
        <v>559</v>
      </c>
      <c r="H319" s="278">
        <f t="shared" si="11"/>
        <v>48</v>
      </c>
      <c r="I319" s="272">
        <v>1</v>
      </c>
      <c r="J319" s="272">
        <v>25</v>
      </c>
      <c r="K319" s="272">
        <v>22</v>
      </c>
      <c r="L319" s="272" t="s">
        <v>1230</v>
      </c>
      <c r="M319" s="273" t="s">
        <v>501</v>
      </c>
    </row>
    <row r="320" spans="2:13" x14ac:dyDescent="0.25">
      <c r="B320" s="272" t="s">
        <v>1232</v>
      </c>
      <c r="C320" s="273" t="s">
        <v>1009</v>
      </c>
      <c r="D320" s="273" t="s">
        <v>1010</v>
      </c>
      <c r="E320" s="272" t="s">
        <v>1078</v>
      </c>
      <c r="F320" s="275" t="s">
        <v>1233</v>
      </c>
      <c r="G320" s="271" t="s">
        <v>559</v>
      </c>
      <c r="H320" s="278">
        <f t="shared" si="11"/>
        <v>48</v>
      </c>
      <c r="I320" s="272">
        <v>1</v>
      </c>
      <c r="J320" s="272">
        <v>25</v>
      </c>
      <c r="K320" s="272">
        <v>22</v>
      </c>
      <c r="L320" s="272" t="s">
        <v>1232</v>
      </c>
      <c r="M320" s="273" t="s">
        <v>501</v>
      </c>
    </row>
    <row r="321" spans="2:13" x14ac:dyDescent="0.25">
      <c r="B321" s="272" t="s">
        <v>1234</v>
      </c>
      <c r="C321" s="273" t="s">
        <v>1009</v>
      </c>
      <c r="D321" s="273" t="s">
        <v>1010</v>
      </c>
      <c r="E321" s="272" t="s">
        <v>1078</v>
      </c>
      <c r="F321" s="275" t="s">
        <v>1235</v>
      </c>
      <c r="G321" s="271" t="s">
        <v>559</v>
      </c>
      <c r="H321" s="278">
        <f t="shared" si="11"/>
        <v>48</v>
      </c>
      <c r="I321" s="272">
        <v>1</v>
      </c>
      <c r="J321" s="272">
        <v>25</v>
      </c>
      <c r="K321" s="272">
        <v>22</v>
      </c>
      <c r="L321" s="272" t="s">
        <v>1234</v>
      </c>
      <c r="M321" s="273" t="s">
        <v>501</v>
      </c>
    </row>
    <row r="322" spans="2:13" x14ac:dyDescent="0.25">
      <c r="B322" s="272" t="s">
        <v>1236</v>
      </c>
      <c r="C322" s="273" t="s">
        <v>1009</v>
      </c>
      <c r="D322" s="273" t="s">
        <v>1010</v>
      </c>
      <c r="E322" s="272" t="s">
        <v>1078</v>
      </c>
      <c r="F322" s="275" t="s">
        <v>1237</v>
      </c>
      <c r="G322" s="271" t="s">
        <v>559</v>
      </c>
      <c r="H322" s="278">
        <f t="shared" si="11"/>
        <v>48</v>
      </c>
      <c r="I322" s="272">
        <v>1</v>
      </c>
      <c r="J322" s="272">
        <v>25</v>
      </c>
      <c r="K322" s="272">
        <v>22</v>
      </c>
      <c r="L322" s="272" t="s">
        <v>1236</v>
      </c>
      <c r="M322" s="273" t="s">
        <v>501</v>
      </c>
    </row>
    <row r="323" spans="2:13" x14ac:dyDescent="0.25">
      <c r="B323" s="272" t="s">
        <v>1238</v>
      </c>
      <c r="C323" s="273" t="s">
        <v>1009</v>
      </c>
      <c r="D323" s="273" t="s">
        <v>1010</v>
      </c>
      <c r="E323" s="272" t="s">
        <v>1078</v>
      </c>
      <c r="F323" s="275" t="s">
        <v>1239</v>
      </c>
      <c r="G323" s="271" t="s">
        <v>559</v>
      </c>
      <c r="H323" s="278">
        <f t="shared" si="11"/>
        <v>48</v>
      </c>
      <c r="I323" s="272">
        <v>1</v>
      </c>
      <c r="J323" s="272">
        <v>25</v>
      </c>
      <c r="K323" s="272">
        <v>20</v>
      </c>
      <c r="L323" s="272" t="s">
        <v>1238</v>
      </c>
      <c r="M323" s="273" t="s">
        <v>501</v>
      </c>
    </row>
    <row r="324" spans="2:13" x14ac:dyDescent="0.25">
      <c r="B324" s="272" t="s">
        <v>1240</v>
      </c>
      <c r="C324" s="273" t="s">
        <v>1009</v>
      </c>
      <c r="D324" s="273" t="s">
        <v>1010</v>
      </c>
      <c r="E324" s="272" t="s">
        <v>1078</v>
      </c>
      <c r="F324" s="275" t="s">
        <v>1241</v>
      </c>
      <c r="G324" s="271" t="s">
        <v>559</v>
      </c>
      <c r="H324" s="278">
        <f t="shared" si="11"/>
        <v>48</v>
      </c>
      <c r="I324" s="272">
        <v>1</v>
      </c>
      <c r="J324" s="272">
        <v>25</v>
      </c>
      <c r="K324" s="272">
        <v>19</v>
      </c>
      <c r="L324" s="272" t="s">
        <v>1240</v>
      </c>
      <c r="M324" s="273" t="s">
        <v>501</v>
      </c>
    </row>
    <row r="325" spans="2:13" x14ac:dyDescent="0.25">
      <c r="B325" s="272" t="s">
        <v>1242</v>
      </c>
      <c r="C325" s="273" t="s">
        <v>1009</v>
      </c>
      <c r="D325" s="273" t="s">
        <v>1010</v>
      </c>
      <c r="E325" s="272" t="s">
        <v>1078</v>
      </c>
      <c r="F325" s="275" t="s">
        <v>1243</v>
      </c>
      <c r="G325" s="271" t="s">
        <v>559</v>
      </c>
      <c r="H325" s="278">
        <f t="shared" si="11"/>
        <v>48</v>
      </c>
      <c r="I325" s="272">
        <v>1</v>
      </c>
      <c r="J325" s="272">
        <v>25</v>
      </c>
      <c r="K325" s="272">
        <v>19</v>
      </c>
      <c r="L325" s="272" t="s">
        <v>1242</v>
      </c>
      <c r="M325" s="273" t="s">
        <v>501</v>
      </c>
    </row>
    <row r="326" spans="2:13" x14ac:dyDescent="0.25">
      <c r="B326" s="272" t="s">
        <v>1244</v>
      </c>
      <c r="C326" s="273" t="s">
        <v>1009</v>
      </c>
      <c r="D326" s="273" t="s">
        <v>1010</v>
      </c>
      <c r="E326" s="272" t="s">
        <v>1078</v>
      </c>
      <c r="F326" s="275" t="s">
        <v>1245</v>
      </c>
      <c r="G326" s="271" t="s">
        <v>559</v>
      </c>
      <c r="H326" s="278">
        <f t="shared" si="11"/>
        <v>48</v>
      </c>
      <c r="I326" s="272">
        <v>1</v>
      </c>
      <c r="J326" s="272">
        <v>25</v>
      </c>
      <c r="K326" s="272">
        <v>19</v>
      </c>
      <c r="L326" s="272" t="s">
        <v>1244</v>
      </c>
      <c r="M326" s="273" t="s">
        <v>501</v>
      </c>
    </row>
    <row r="327" spans="2:13" x14ac:dyDescent="0.25">
      <c r="B327" s="272" t="s">
        <v>1246</v>
      </c>
      <c r="C327" s="273" t="s">
        <v>1009</v>
      </c>
      <c r="D327" s="273" t="s">
        <v>1010</v>
      </c>
      <c r="E327" s="272" t="s">
        <v>1078</v>
      </c>
      <c r="F327" s="275" t="s">
        <v>1247</v>
      </c>
      <c r="G327" s="271" t="s">
        <v>559</v>
      </c>
      <c r="H327" s="278">
        <f t="shared" si="11"/>
        <v>48</v>
      </c>
      <c r="I327" s="272">
        <v>1</v>
      </c>
      <c r="J327" s="272">
        <v>25</v>
      </c>
      <c r="K327" s="272">
        <v>30</v>
      </c>
      <c r="L327" s="272" t="s">
        <v>1246</v>
      </c>
      <c r="M327" s="273" t="s">
        <v>501</v>
      </c>
    </row>
    <row r="328" spans="2:13" x14ac:dyDescent="0.25">
      <c r="B328" s="272" t="s">
        <v>1248</v>
      </c>
      <c r="C328" s="273" t="s">
        <v>1009</v>
      </c>
      <c r="D328" s="273" t="s">
        <v>1010</v>
      </c>
      <c r="E328" s="272" t="s">
        <v>1078</v>
      </c>
      <c r="F328" s="275" t="s">
        <v>1249</v>
      </c>
      <c r="G328" s="271" t="s">
        <v>559</v>
      </c>
      <c r="H328" s="278">
        <f t="shared" si="11"/>
        <v>48</v>
      </c>
      <c r="I328" s="272">
        <v>1</v>
      </c>
      <c r="J328" s="272">
        <v>25</v>
      </c>
      <c r="K328" s="272">
        <v>30</v>
      </c>
      <c r="L328" s="272" t="s">
        <v>1248</v>
      </c>
      <c r="M328" s="273" t="s">
        <v>501</v>
      </c>
    </row>
    <row r="329" spans="2:13" x14ac:dyDescent="0.25">
      <c r="B329" s="272" t="s">
        <v>1250</v>
      </c>
      <c r="C329" s="273" t="s">
        <v>1009</v>
      </c>
      <c r="D329" s="273" t="s">
        <v>1010</v>
      </c>
      <c r="E329" s="272" t="s">
        <v>1078</v>
      </c>
      <c r="F329" s="275" t="s">
        <v>1251</v>
      </c>
      <c r="G329" s="271" t="s">
        <v>559</v>
      </c>
      <c r="H329" s="278">
        <f t="shared" si="11"/>
        <v>48</v>
      </c>
      <c r="I329" s="272">
        <v>1</v>
      </c>
      <c r="J329" s="272">
        <v>25</v>
      </c>
      <c r="K329" s="272">
        <v>30</v>
      </c>
      <c r="L329" s="272" t="s">
        <v>1250</v>
      </c>
      <c r="M329" s="273" t="s">
        <v>501</v>
      </c>
    </row>
    <row r="330" spans="2:13" x14ac:dyDescent="0.25">
      <c r="B330" s="272" t="s">
        <v>1252</v>
      </c>
      <c r="C330" s="273" t="s">
        <v>1009</v>
      </c>
      <c r="D330" s="273" t="s">
        <v>1010</v>
      </c>
      <c r="E330" s="272" t="s">
        <v>1078</v>
      </c>
      <c r="F330" s="275" t="s">
        <v>1253</v>
      </c>
      <c r="G330" s="271" t="s">
        <v>559</v>
      </c>
      <c r="H330" s="278">
        <f t="shared" si="11"/>
        <v>48</v>
      </c>
      <c r="I330" s="272">
        <v>1</v>
      </c>
      <c r="J330" s="272">
        <v>25</v>
      </c>
      <c r="K330" s="272">
        <v>29</v>
      </c>
      <c r="L330" s="272" t="s">
        <v>1252</v>
      </c>
      <c r="M330" s="273" t="s">
        <v>501</v>
      </c>
    </row>
    <row r="331" spans="2:13" x14ac:dyDescent="0.25">
      <c r="B331" s="273" t="s">
        <v>1254</v>
      </c>
      <c r="C331" s="273" t="s">
        <v>1009</v>
      </c>
      <c r="D331" s="273" t="s">
        <v>1010</v>
      </c>
      <c r="E331" s="273" t="s">
        <v>1151</v>
      </c>
      <c r="F331" s="277" t="s">
        <v>1255</v>
      </c>
      <c r="G331" s="278" t="s">
        <v>559</v>
      </c>
      <c r="H331" s="278">
        <f t="shared" si="11"/>
        <v>48</v>
      </c>
      <c r="I331" s="273">
        <v>2</v>
      </c>
      <c r="J331" s="273">
        <v>32</v>
      </c>
      <c r="K331" s="273">
        <v>59</v>
      </c>
      <c r="L331" s="273" t="s">
        <v>1254</v>
      </c>
      <c r="M331" s="273" t="s">
        <v>501</v>
      </c>
    </row>
    <row r="332" spans="2:13" x14ac:dyDescent="0.25">
      <c r="B332" s="273" t="s">
        <v>1256</v>
      </c>
      <c r="C332" s="273" t="s">
        <v>1009</v>
      </c>
      <c r="D332" s="273" t="s">
        <v>1010</v>
      </c>
      <c r="E332" s="273" t="s">
        <v>1154</v>
      </c>
      <c r="F332" s="277" t="s">
        <v>1257</v>
      </c>
      <c r="G332" s="278" t="s">
        <v>559</v>
      </c>
      <c r="H332" s="278">
        <f t="shared" si="11"/>
        <v>48</v>
      </c>
      <c r="I332" s="273">
        <v>2</v>
      </c>
      <c r="J332" s="273">
        <v>30</v>
      </c>
      <c r="K332" s="273">
        <v>53</v>
      </c>
      <c r="L332" s="273" t="s">
        <v>1256</v>
      </c>
      <c r="M332" s="273" t="s">
        <v>501</v>
      </c>
    </row>
    <row r="333" spans="2:13" x14ac:dyDescent="0.25">
      <c r="B333" s="273" t="s">
        <v>1258</v>
      </c>
      <c r="C333" s="273" t="s">
        <v>1009</v>
      </c>
      <c r="D333" s="273" t="s">
        <v>1010</v>
      </c>
      <c r="E333" s="273" t="s">
        <v>1154</v>
      </c>
      <c r="F333" s="277" t="s">
        <v>1259</v>
      </c>
      <c r="G333" s="278" t="s">
        <v>559</v>
      </c>
      <c r="H333" s="278">
        <f t="shared" si="11"/>
        <v>48</v>
      </c>
      <c r="I333" s="273">
        <v>2</v>
      </c>
      <c r="J333" s="273">
        <v>30</v>
      </c>
      <c r="K333" s="273">
        <v>52</v>
      </c>
      <c r="L333" s="273" t="s">
        <v>1260</v>
      </c>
      <c r="M333" s="273" t="s">
        <v>501</v>
      </c>
    </row>
    <row r="334" spans="2:13" x14ac:dyDescent="0.25">
      <c r="B334" s="273" t="s">
        <v>1261</v>
      </c>
      <c r="C334" s="273" t="s">
        <v>1009</v>
      </c>
      <c r="D334" s="273" t="s">
        <v>1010</v>
      </c>
      <c r="E334" s="273" t="s">
        <v>1154</v>
      </c>
      <c r="F334" s="277" t="s">
        <v>1262</v>
      </c>
      <c r="G334" s="278" t="s">
        <v>559</v>
      </c>
      <c r="H334" s="278">
        <f t="shared" si="11"/>
        <v>48</v>
      </c>
      <c r="I334" s="273">
        <v>2</v>
      </c>
      <c r="J334" s="273">
        <v>30</v>
      </c>
      <c r="K334" s="273">
        <v>47</v>
      </c>
      <c r="L334" s="273" t="s">
        <v>1261</v>
      </c>
      <c r="M334" s="273" t="s">
        <v>501</v>
      </c>
    </row>
    <row r="335" spans="2:13" x14ac:dyDescent="0.25">
      <c r="B335" s="273" t="s">
        <v>1263</v>
      </c>
      <c r="C335" s="273" t="s">
        <v>1009</v>
      </c>
      <c r="D335" s="273" t="s">
        <v>1010</v>
      </c>
      <c r="E335" s="273" t="s">
        <v>1154</v>
      </c>
      <c r="F335" s="277" t="s">
        <v>1264</v>
      </c>
      <c r="G335" s="278" t="s">
        <v>559</v>
      </c>
      <c r="H335" s="278">
        <f t="shared" ref="H335:H398" si="12">MID(B335,2,1)*12</f>
        <v>48</v>
      </c>
      <c r="I335" s="273">
        <v>2</v>
      </c>
      <c r="J335" s="273">
        <v>30</v>
      </c>
      <c r="K335" s="273">
        <v>46</v>
      </c>
      <c r="L335" s="273" t="s">
        <v>1265</v>
      </c>
      <c r="M335" s="273" t="s">
        <v>501</v>
      </c>
    </row>
    <row r="336" spans="2:13" x14ac:dyDescent="0.25">
      <c r="B336" s="273" t="s">
        <v>1266</v>
      </c>
      <c r="C336" s="273" t="s">
        <v>1009</v>
      </c>
      <c r="D336" s="273" t="s">
        <v>1010</v>
      </c>
      <c r="E336" s="273" t="s">
        <v>1154</v>
      </c>
      <c r="F336" s="277" t="s">
        <v>1267</v>
      </c>
      <c r="G336" s="278" t="s">
        <v>559</v>
      </c>
      <c r="H336" s="278">
        <f t="shared" si="12"/>
        <v>48</v>
      </c>
      <c r="I336" s="273">
        <v>2</v>
      </c>
      <c r="J336" s="273">
        <v>30</v>
      </c>
      <c r="K336" s="273">
        <v>72</v>
      </c>
      <c r="L336" s="273" t="s">
        <v>1266</v>
      </c>
      <c r="M336" s="273" t="s">
        <v>501</v>
      </c>
    </row>
    <row r="337" spans="2:13" x14ac:dyDescent="0.25">
      <c r="B337" s="273" t="s">
        <v>1268</v>
      </c>
      <c r="C337" s="273" t="s">
        <v>1009</v>
      </c>
      <c r="D337" s="273" t="s">
        <v>1010</v>
      </c>
      <c r="E337" s="273" t="s">
        <v>1177</v>
      </c>
      <c r="F337" s="277" t="s">
        <v>1257</v>
      </c>
      <c r="G337" s="278" t="s">
        <v>559</v>
      </c>
      <c r="H337" s="278">
        <f t="shared" si="12"/>
        <v>48</v>
      </c>
      <c r="I337" s="273">
        <v>2</v>
      </c>
      <c r="J337" s="273">
        <v>28</v>
      </c>
      <c r="K337" s="273">
        <v>48</v>
      </c>
      <c r="L337" s="273" t="s">
        <v>1268</v>
      </c>
      <c r="M337" s="273" t="s">
        <v>501</v>
      </c>
    </row>
    <row r="338" spans="2:13" x14ac:dyDescent="0.25">
      <c r="B338" s="273" t="s">
        <v>1269</v>
      </c>
      <c r="C338" s="273" t="s">
        <v>1009</v>
      </c>
      <c r="D338" s="273" t="s">
        <v>1010</v>
      </c>
      <c r="E338" s="273" t="s">
        <v>1177</v>
      </c>
      <c r="F338" s="277" t="s">
        <v>1259</v>
      </c>
      <c r="G338" s="278" t="s">
        <v>559</v>
      </c>
      <c r="H338" s="278">
        <f t="shared" si="12"/>
        <v>48</v>
      </c>
      <c r="I338" s="273">
        <v>2</v>
      </c>
      <c r="J338" s="273">
        <v>28</v>
      </c>
      <c r="K338" s="273">
        <v>47</v>
      </c>
      <c r="L338" s="273" t="s">
        <v>1270</v>
      </c>
      <c r="M338" s="273" t="s">
        <v>501</v>
      </c>
    </row>
    <row r="339" spans="2:13" x14ac:dyDescent="0.25">
      <c r="B339" s="273" t="s">
        <v>1271</v>
      </c>
      <c r="C339" s="273" t="s">
        <v>1009</v>
      </c>
      <c r="D339" s="273" t="s">
        <v>1010</v>
      </c>
      <c r="E339" s="273" t="s">
        <v>1177</v>
      </c>
      <c r="F339" s="277" t="s">
        <v>1262</v>
      </c>
      <c r="G339" s="278" t="s">
        <v>559</v>
      </c>
      <c r="H339" s="278">
        <f t="shared" si="12"/>
        <v>48</v>
      </c>
      <c r="I339" s="273">
        <v>2</v>
      </c>
      <c r="J339" s="273">
        <v>28</v>
      </c>
      <c r="K339" s="273">
        <v>45</v>
      </c>
      <c r="L339" s="273" t="s">
        <v>1271</v>
      </c>
      <c r="M339" s="273" t="s">
        <v>501</v>
      </c>
    </row>
    <row r="340" spans="2:13" x14ac:dyDescent="0.25">
      <c r="B340" s="273" t="s">
        <v>1272</v>
      </c>
      <c r="C340" s="273" t="s">
        <v>1009</v>
      </c>
      <c r="D340" s="273" t="s">
        <v>1010</v>
      </c>
      <c r="E340" s="273" t="s">
        <v>1177</v>
      </c>
      <c r="F340" s="277" t="s">
        <v>1264</v>
      </c>
      <c r="G340" s="278" t="s">
        <v>559</v>
      </c>
      <c r="H340" s="278">
        <f t="shared" si="12"/>
        <v>48</v>
      </c>
      <c r="I340" s="273">
        <v>2</v>
      </c>
      <c r="J340" s="273">
        <v>28</v>
      </c>
      <c r="K340" s="273">
        <v>44</v>
      </c>
      <c r="L340" s="273" t="s">
        <v>1273</v>
      </c>
      <c r="M340" s="273" t="s">
        <v>501</v>
      </c>
    </row>
    <row r="341" spans="2:13" x14ac:dyDescent="0.25">
      <c r="B341" s="273" t="s">
        <v>1274</v>
      </c>
      <c r="C341" s="273" t="s">
        <v>1009</v>
      </c>
      <c r="D341" s="273" t="s">
        <v>1010</v>
      </c>
      <c r="E341" s="273" t="s">
        <v>1177</v>
      </c>
      <c r="F341" s="277" t="s">
        <v>1267</v>
      </c>
      <c r="G341" s="278" t="s">
        <v>559</v>
      </c>
      <c r="H341" s="278">
        <f t="shared" si="12"/>
        <v>48</v>
      </c>
      <c r="I341" s="273">
        <v>2</v>
      </c>
      <c r="J341" s="273">
        <v>28</v>
      </c>
      <c r="K341" s="273">
        <v>67</v>
      </c>
      <c r="L341" s="273" t="s">
        <v>1274</v>
      </c>
      <c r="M341" s="273" t="s">
        <v>501</v>
      </c>
    </row>
    <row r="342" spans="2:13" x14ac:dyDescent="0.25">
      <c r="B342" s="273" t="s">
        <v>1275</v>
      </c>
      <c r="C342" s="273" t="s">
        <v>1009</v>
      </c>
      <c r="D342" s="273" t="s">
        <v>1010</v>
      </c>
      <c r="E342" s="273" t="s">
        <v>1151</v>
      </c>
      <c r="F342" s="277" t="s">
        <v>1276</v>
      </c>
      <c r="G342" s="278" t="s">
        <v>559</v>
      </c>
      <c r="H342" s="278">
        <f t="shared" si="12"/>
        <v>48</v>
      </c>
      <c r="I342" s="273">
        <v>2</v>
      </c>
      <c r="J342" s="273">
        <v>32</v>
      </c>
      <c r="K342" s="273">
        <v>56</v>
      </c>
      <c r="L342" s="273" t="s">
        <v>1275</v>
      </c>
      <c r="M342" s="273" t="s">
        <v>501</v>
      </c>
    </row>
    <row r="343" spans="2:13" x14ac:dyDescent="0.25">
      <c r="B343" s="273" t="s">
        <v>1277</v>
      </c>
      <c r="C343" s="273" t="s">
        <v>1009</v>
      </c>
      <c r="D343" s="273" t="s">
        <v>1010</v>
      </c>
      <c r="E343" s="273" t="s">
        <v>1151</v>
      </c>
      <c r="F343" s="277" t="s">
        <v>1278</v>
      </c>
      <c r="G343" s="278" t="s">
        <v>559</v>
      </c>
      <c r="H343" s="278">
        <f t="shared" si="12"/>
        <v>48</v>
      </c>
      <c r="I343" s="273">
        <v>2</v>
      </c>
      <c r="J343" s="273">
        <v>32</v>
      </c>
      <c r="K343" s="273">
        <v>51</v>
      </c>
      <c r="L343" s="273" t="s">
        <v>1277</v>
      </c>
      <c r="M343" s="273" t="s">
        <v>501</v>
      </c>
    </row>
    <row r="344" spans="2:13" x14ac:dyDescent="0.25">
      <c r="B344" s="273" t="s">
        <v>1279</v>
      </c>
      <c r="C344" s="273" t="s">
        <v>1009</v>
      </c>
      <c r="D344" s="273" t="s">
        <v>1010</v>
      </c>
      <c r="E344" s="273" t="s">
        <v>1151</v>
      </c>
      <c r="F344" s="277" t="s">
        <v>1280</v>
      </c>
      <c r="G344" s="278" t="s">
        <v>559</v>
      </c>
      <c r="H344" s="278">
        <f t="shared" si="12"/>
        <v>48</v>
      </c>
      <c r="I344" s="273">
        <v>2</v>
      </c>
      <c r="J344" s="273">
        <v>32</v>
      </c>
      <c r="K344" s="273">
        <v>65</v>
      </c>
      <c r="L344" s="273" t="s">
        <v>1279</v>
      </c>
      <c r="M344" s="273" t="s">
        <v>501</v>
      </c>
    </row>
    <row r="345" spans="2:13" x14ac:dyDescent="0.25">
      <c r="B345" s="273" t="s">
        <v>1281</v>
      </c>
      <c r="C345" s="273" t="s">
        <v>1009</v>
      </c>
      <c r="D345" s="273" t="s">
        <v>1010</v>
      </c>
      <c r="E345" s="273" t="s">
        <v>1151</v>
      </c>
      <c r="F345" s="277" t="s">
        <v>1282</v>
      </c>
      <c r="G345" s="278" t="s">
        <v>559</v>
      </c>
      <c r="H345" s="278">
        <f t="shared" si="12"/>
        <v>48</v>
      </c>
      <c r="I345" s="273">
        <v>2</v>
      </c>
      <c r="J345" s="273">
        <v>32</v>
      </c>
      <c r="K345" s="273">
        <v>52</v>
      </c>
      <c r="L345" s="273" t="s">
        <v>1281</v>
      </c>
      <c r="M345" s="273" t="s">
        <v>501</v>
      </c>
    </row>
    <row r="346" spans="2:13" x14ac:dyDescent="0.25">
      <c r="B346" s="273" t="s">
        <v>1283</v>
      </c>
      <c r="C346" s="273" t="s">
        <v>1009</v>
      </c>
      <c r="D346" s="273" t="s">
        <v>1010</v>
      </c>
      <c r="E346" s="273" t="s">
        <v>1151</v>
      </c>
      <c r="F346" s="277" t="s">
        <v>1284</v>
      </c>
      <c r="G346" s="278" t="s">
        <v>559</v>
      </c>
      <c r="H346" s="278">
        <f t="shared" si="12"/>
        <v>48</v>
      </c>
      <c r="I346" s="273">
        <v>2</v>
      </c>
      <c r="J346" s="273">
        <v>32</v>
      </c>
      <c r="K346" s="273">
        <v>79</v>
      </c>
      <c r="L346" s="273" t="s">
        <v>1283</v>
      </c>
      <c r="M346" s="273" t="s">
        <v>501</v>
      </c>
    </row>
    <row r="347" spans="2:13" x14ac:dyDescent="0.25">
      <c r="B347" s="273" t="s">
        <v>1285</v>
      </c>
      <c r="C347" s="273" t="s">
        <v>1009</v>
      </c>
      <c r="D347" s="273" t="s">
        <v>1010</v>
      </c>
      <c r="E347" s="273" t="s">
        <v>1151</v>
      </c>
      <c r="F347" s="277" t="s">
        <v>1286</v>
      </c>
      <c r="G347" s="278" t="s">
        <v>1044</v>
      </c>
      <c r="H347" s="278">
        <f t="shared" si="12"/>
        <v>48</v>
      </c>
      <c r="I347" s="273">
        <v>2</v>
      </c>
      <c r="J347" s="273">
        <v>32</v>
      </c>
      <c r="K347" s="273">
        <v>71</v>
      </c>
      <c r="L347" s="273" t="s">
        <v>1285</v>
      </c>
      <c r="M347" s="273" t="s">
        <v>501</v>
      </c>
    </row>
    <row r="348" spans="2:13" x14ac:dyDescent="0.25">
      <c r="B348" s="273" t="s">
        <v>542</v>
      </c>
      <c r="C348" s="273" t="s">
        <v>1009</v>
      </c>
      <c r="D348" s="273" t="s">
        <v>1010</v>
      </c>
      <c r="E348" s="273" t="s">
        <v>1151</v>
      </c>
      <c r="F348" s="277" t="s">
        <v>1287</v>
      </c>
      <c r="G348" s="278" t="s">
        <v>559</v>
      </c>
      <c r="H348" s="278">
        <f t="shared" si="12"/>
        <v>48</v>
      </c>
      <c r="I348" s="273">
        <v>2</v>
      </c>
      <c r="J348" s="273">
        <v>32</v>
      </c>
      <c r="K348" s="273">
        <v>60</v>
      </c>
      <c r="L348" s="273" t="s">
        <v>542</v>
      </c>
      <c r="M348" s="273" t="s">
        <v>501</v>
      </c>
    </row>
    <row r="349" spans="2:13" x14ac:dyDescent="0.25">
      <c r="B349" s="273" t="s">
        <v>1288</v>
      </c>
      <c r="C349" s="273" t="s">
        <v>1009</v>
      </c>
      <c r="D349" s="273" t="s">
        <v>1010</v>
      </c>
      <c r="E349" s="273" t="s">
        <v>1151</v>
      </c>
      <c r="F349" s="277" t="s">
        <v>1289</v>
      </c>
      <c r="G349" s="278" t="s">
        <v>559</v>
      </c>
      <c r="H349" s="278">
        <f t="shared" si="12"/>
        <v>48</v>
      </c>
      <c r="I349" s="273">
        <v>2</v>
      </c>
      <c r="J349" s="273">
        <v>32</v>
      </c>
      <c r="K349" s="273">
        <v>59</v>
      </c>
      <c r="L349" s="273" t="s">
        <v>1288</v>
      </c>
      <c r="M349" s="273" t="s">
        <v>501</v>
      </c>
    </row>
    <row r="350" spans="2:13" x14ac:dyDescent="0.25">
      <c r="B350" s="273" t="s">
        <v>1290</v>
      </c>
      <c r="C350" s="273" t="s">
        <v>1009</v>
      </c>
      <c r="D350" s="273" t="s">
        <v>1010</v>
      </c>
      <c r="E350" s="273" t="s">
        <v>1151</v>
      </c>
      <c r="F350" s="277" t="s">
        <v>1291</v>
      </c>
      <c r="G350" s="278" t="s">
        <v>559</v>
      </c>
      <c r="H350" s="278">
        <f t="shared" si="12"/>
        <v>48</v>
      </c>
      <c r="I350" s="273">
        <v>2</v>
      </c>
      <c r="J350" s="273">
        <v>32</v>
      </c>
      <c r="K350" s="273">
        <v>53</v>
      </c>
      <c r="L350" s="273" t="s">
        <v>1290</v>
      </c>
      <c r="M350" s="273" t="s">
        <v>501</v>
      </c>
    </row>
    <row r="351" spans="2:13" x14ac:dyDescent="0.25">
      <c r="B351" s="273" t="s">
        <v>1292</v>
      </c>
      <c r="C351" s="273" t="s">
        <v>1009</v>
      </c>
      <c r="D351" s="273" t="s">
        <v>1010</v>
      </c>
      <c r="E351" s="273" t="s">
        <v>1151</v>
      </c>
      <c r="F351" s="277" t="s">
        <v>1293</v>
      </c>
      <c r="G351" s="278" t="s">
        <v>559</v>
      </c>
      <c r="H351" s="278">
        <f t="shared" si="12"/>
        <v>48</v>
      </c>
      <c r="I351" s="273">
        <v>2</v>
      </c>
      <c r="J351" s="273">
        <v>32</v>
      </c>
      <c r="K351" s="273">
        <v>70</v>
      </c>
      <c r="L351" s="273" t="s">
        <v>1292</v>
      </c>
      <c r="M351" s="273" t="s">
        <v>501</v>
      </c>
    </row>
    <row r="352" spans="2:13" x14ac:dyDescent="0.25">
      <c r="B352" s="273" t="s">
        <v>1294</v>
      </c>
      <c r="C352" s="273" t="s">
        <v>1009</v>
      </c>
      <c r="D352" s="273" t="s">
        <v>1010</v>
      </c>
      <c r="E352" s="273" t="s">
        <v>1151</v>
      </c>
      <c r="F352" s="277" t="s">
        <v>1295</v>
      </c>
      <c r="G352" s="278" t="s">
        <v>559</v>
      </c>
      <c r="H352" s="278">
        <f t="shared" si="12"/>
        <v>48</v>
      </c>
      <c r="I352" s="273">
        <v>2</v>
      </c>
      <c r="J352" s="273">
        <v>32</v>
      </c>
      <c r="K352" s="273">
        <v>54</v>
      </c>
      <c r="L352" s="273" t="s">
        <v>1294</v>
      </c>
      <c r="M352" s="273" t="s">
        <v>501</v>
      </c>
    </row>
    <row r="353" spans="2:13" x14ac:dyDescent="0.25">
      <c r="B353" s="273" t="s">
        <v>1296</v>
      </c>
      <c r="C353" s="273" t="s">
        <v>1009</v>
      </c>
      <c r="D353" s="273" t="s">
        <v>1010</v>
      </c>
      <c r="E353" s="273" t="s">
        <v>1151</v>
      </c>
      <c r="F353" s="277" t="s">
        <v>1297</v>
      </c>
      <c r="G353" s="278" t="s">
        <v>559</v>
      </c>
      <c r="H353" s="278">
        <f t="shared" si="12"/>
        <v>48</v>
      </c>
      <c r="I353" s="273">
        <v>2</v>
      </c>
      <c r="J353" s="273">
        <v>32</v>
      </c>
      <c r="K353" s="273">
        <v>85</v>
      </c>
      <c r="L353" s="273" t="s">
        <v>1296</v>
      </c>
      <c r="M353" s="273" t="s">
        <v>501</v>
      </c>
    </row>
    <row r="354" spans="2:13" x14ac:dyDescent="0.25">
      <c r="B354" s="272" t="s">
        <v>1298</v>
      </c>
      <c r="C354" s="273" t="s">
        <v>1009</v>
      </c>
      <c r="D354" s="273" t="s">
        <v>1010</v>
      </c>
      <c r="E354" s="272" t="s">
        <v>1078</v>
      </c>
      <c r="F354" s="275" t="s">
        <v>1299</v>
      </c>
      <c r="G354" s="271" t="s">
        <v>559</v>
      </c>
      <c r="H354" s="278">
        <f t="shared" si="12"/>
        <v>48</v>
      </c>
      <c r="I354" s="272">
        <v>2</v>
      </c>
      <c r="J354" s="272">
        <v>25</v>
      </c>
      <c r="K354" s="272">
        <v>43</v>
      </c>
      <c r="L354" s="272" t="s">
        <v>1298</v>
      </c>
      <c r="M354" s="273" t="s">
        <v>501</v>
      </c>
    </row>
    <row r="355" spans="2:13" x14ac:dyDescent="0.25">
      <c r="B355" s="272" t="s">
        <v>1300</v>
      </c>
      <c r="C355" s="273" t="s">
        <v>1009</v>
      </c>
      <c r="D355" s="273" t="s">
        <v>1010</v>
      </c>
      <c r="E355" s="272" t="s">
        <v>1078</v>
      </c>
      <c r="F355" s="275" t="s">
        <v>1301</v>
      </c>
      <c r="G355" s="271" t="s">
        <v>559</v>
      </c>
      <c r="H355" s="278">
        <f t="shared" si="12"/>
        <v>48</v>
      </c>
      <c r="I355" s="272">
        <v>2</v>
      </c>
      <c r="J355" s="272">
        <v>25</v>
      </c>
      <c r="K355" s="272">
        <v>43</v>
      </c>
      <c r="L355" s="272" t="s">
        <v>1300</v>
      </c>
      <c r="M355" s="273" t="s">
        <v>501</v>
      </c>
    </row>
    <row r="356" spans="2:13" x14ac:dyDescent="0.25">
      <c r="B356" s="272" t="s">
        <v>1302</v>
      </c>
      <c r="C356" s="273" t="s">
        <v>1009</v>
      </c>
      <c r="D356" s="273" t="s">
        <v>1010</v>
      </c>
      <c r="E356" s="272" t="s">
        <v>1078</v>
      </c>
      <c r="F356" s="275" t="s">
        <v>1303</v>
      </c>
      <c r="G356" s="271" t="s">
        <v>559</v>
      </c>
      <c r="H356" s="278">
        <f t="shared" si="12"/>
        <v>48</v>
      </c>
      <c r="I356" s="272">
        <v>2</v>
      </c>
      <c r="J356" s="272">
        <v>25</v>
      </c>
      <c r="K356" s="272">
        <v>38</v>
      </c>
      <c r="L356" s="272" t="s">
        <v>1302</v>
      </c>
      <c r="M356" s="273" t="s">
        <v>501</v>
      </c>
    </row>
    <row r="357" spans="2:13" x14ac:dyDescent="0.25">
      <c r="B357" s="272" t="s">
        <v>1304</v>
      </c>
      <c r="C357" s="273" t="s">
        <v>1009</v>
      </c>
      <c r="D357" s="273" t="s">
        <v>1010</v>
      </c>
      <c r="E357" s="272" t="s">
        <v>1078</v>
      </c>
      <c r="F357" s="275" t="s">
        <v>1305</v>
      </c>
      <c r="G357" s="271" t="s">
        <v>559</v>
      </c>
      <c r="H357" s="278">
        <f t="shared" si="12"/>
        <v>48</v>
      </c>
      <c r="I357" s="272">
        <v>2</v>
      </c>
      <c r="J357" s="272">
        <v>25</v>
      </c>
      <c r="K357" s="272">
        <v>38</v>
      </c>
      <c r="L357" s="272" t="s">
        <v>1304</v>
      </c>
      <c r="M357" s="273" t="s">
        <v>501</v>
      </c>
    </row>
    <row r="358" spans="2:13" x14ac:dyDescent="0.25">
      <c r="B358" s="272" t="s">
        <v>1306</v>
      </c>
      <c r="C358" s="273" t="s">
        <v>1009</v>
      </c>
      <c r="D358" s="273" t="s">
        <v>1010</v>
      </c>
      <c r="E358" s="272" t="s">
        <v>1078</v>
      </c>
      <c r="F358" s="275" t="s">
        <v>1307</v>
      </c>
      <c r="G358" s="271" t="s">
        <v>559</v>
      </c>
      <c r="H358" s="278">
        <f t="shared" si="12"/>
        <v>48</v>
      </c>
      <c r="I358" s="272">
        <v>2</v>
      </c>
      <c r="J358" s="272">
        <v>25</v>
      </c>
      <c r="K358" s="272">
        <v>58</v>
      </c>
      <c r="L358" s="272" t="s">
        <v>1306</v>
      </c>
      <c r="M358" s="273" t="s">
        <v>501</v>
      </c>
    </row>
    <row r="359" spans="2:13" x14ac:dyDescent="0.25">
      <c r="B359" s="272" t="s">
        <v>1308</v>
      </c>
      <c r="C359" s="273" t="s">
        <v>1009</v>
      </c>
      <c r="D359" s="273" t="s">
        <v>1010</v>
      </c>
      <c r="E359" s="272" t="s">
        <v>1078</v>
      </c>
      <c r="F359" s="275" t="s">
        <v>1309</v>
      </c>
      <c r="G359" s="271" t="s">
        <v>559</v>
      </c>
      <c r="H359" s="278">
        <f t="shared" si="12"/>
        <v>48</v>
      </c>
      <c r="I359" s="272">
        <v>2</v>
      </c>
      <c r="J359" s="272">
        <v>25</v>
      </c>
      <c r="K359" s="272">
        <v>58</v>
      </c>
      <c r="L359" s="272" t="s">
        <v>1308</v>
      </c>
      <c r="M359" s="273" t="s">
        <v>501</v>
      </c>
    </row>
    <row r="360" spans="2:13" x14ac:dyDescent="0.25">
      <c r="B360" s="273" t="s">
        <v>1310</v>
      </c>
      <c r="C360" s="273" t="s">
        <v>1009</v>
      </c>
      <c r="D360" s="273" t="s">
        <v>1010</v>
      </c>
      <c r="E360" s="273" t="s">
        <v>1151</v>
      </c>
      <c r="F360" s="277" t="s">
        <v>1311</v>
      </c>
      <c r="G360" s="278" t="s">
        <v>559</v>
      </c>
      <c r="H360" s="278">
        <f t="shared" si="12"/>
        <v>48</v>
      </c>
      <c r="I360" s="273">
        <v>3</v>
      </c>
      <c r="J360" s="273">
        <v>32</v>
      </c>
      <c r="K360" s="273">
        <v>89</v>
      </c>
      <c r="L360" s="273" t="s">
        <v>1310</v>
      </c>
      <c r="M360" s="273" t="s">
        <v>501</v>
      </c>
    </row>
    <row r="361" spans="2:13" x14ac:dyDescent="0.25">
      <c r="B361" s="273" t="s">
        <v>1312</v>
      </c>
      <c r="C361" s="273" t="s">
        <v>1009</v>
      </c>
      <c r="D361" s="273" t="s">
        <v>1010</v>
      </c>
      <c r="E361" s="273" t="s">
        <v>1154</v>
      </c>
      <c r="F361" s="277" t="s">
        <v>1313</v>
      </c>
      <c r="G361" s="278" t="s">
        <v>559</v>
      </c>
      <c r="H361" s="278">
        <f t="shared" si="12"/>
        <v>48</v>
      </c>
      <c r="I361" s="273">
        <v>3</v>
      </c>
      <c r="J361" s="273">
        <v>30</v>
      </c>
      <c r="K361" s="273">
        <v>78</v>
      </c>
      <c r="L361" s="273" t="s">
        <v>1312</v>
      </c>
      <c r="M361" s="273" t="s">
        <v>501</v>
      </c>
    </row>
    <row r="362" spans="2:13" x14ac:dyDescent="0.25">
      <c r="B362" s="273" t="s">
        <v>1314</v>
      </c>
      <c r="C362" s="273" t="s">
        <v>1009</v>
      </c>
      <c r="D362" s="273" t="s">
        <v>1010</v>
      </c>
      <c r="E362" s="273" t="s">
        <v>1154</v>
      </c>
      <c r="F362" s="277" t="s">
        <v>1315</v>
      </c>
      <c r="G362" s="278" t="s">
        <v>559</v>
      </c>
      <c r="H362" s="278">
        <f t="shared" si="12"/>
        <v>48</v>
      </c>
      <c r="I362" s="273">
        <v>3</v>
      </c>
      <c r="J362" s="273">
        <v>30</v>
      </c>
      <c r="K362" s="273">
        <v>70</v>
      </c>
      <c r="L362" s="273" t="s">
        <v>1314</v>
      </c>
      <c r="M362" s="273" t="s">
        <v>501</v>
      </c>
    </row>
    <row r="363" spans="2:13" x14ac:dyDescent="0.25">
      <c r="B363" s="273" t="s">
        <v>1316</v>
      </c>
      <c r="C363" s="273" t="s">
        <v>1009</v>
      </c>
      <c r="D363" s="273" t="s">
        <v>1010</v>
      </c>
      <c r="E363" s="273" t="s">
        <v>1154</v>
      </c>
      <c r="F363" s="277" t="s">
        <v>1317</v>
      </c>
      <c r="G363" s="278" t="s">
        <v>559</v>
      </c>
      <c r="H363" s="278">
        <f t="shared" si="12"/>
        <v>48</v>
      </c>
      <c r="I363" s="273">
        <v>3</v>
      </c>
      <c r="J363" s="273">
        <v>30</v>
      </c>
      <c r="K363" s="273">
        <v>105</v>
      </c>
      <c r="L363" s="273" t="s">
        <v>1316</v>
      </c>
      <c r="M363" s="273" t="s">
        <v>501</v>
      </c>
    </row>
    <row r="364" spans="2:13" x14ac:dyDescent="0.25">
      <c r="B364" s="273" t="s">
        <v>1318</v>
      </c>
      <c r="C364" s="273" t="s">
        <v>1009</v>
      </c>
      <c r="D364" s="273" t="s">
        <v>1010</v>
      </c>
      <c r="E364" s="273" t="s">
        <v>1177</v>
      </c>
      <c r="F364" s="277" t="s">
        <v>1313</v>
      </c>
      <c r="G364" s="278" t="s">
        <v>559</v>
      </c>
      <c r="H364" s="278">
        <f t="shared" si="12"/>
        <v>48</v>
      </c>
      <c r="I364" s="273">
        <v>3</v>
      </c>
      <c r="J364" s="273">
        <v>28</v>
      </c>
      <c r="K364" s="273">
        <v>72</v>
      </c>
      <c r="L364" s="273" t="s">
        <v>1318</v>
      </c>
      <c r="M364" s="273" t="s">
        <v>501</v>
      </c>
    </row>
    <row r="365" spans="2:13" x14ac:dyDescent="0.25">
      <c r="B365" s="273" t="s">
        <v>1319</v>
      </c>
      <c r="C365" s="273" t="s">
        <v>1009</v>
      </c>
      <c r="D365" s="273" t="s">
        <v>1010</v>
      </c>
      <c r="E365" s="273" t="s">
        <v>1177</v>
      </c>
      <c r="F365" s="277" t="s">
        <v>1315</v>
      </c>
      <c r="G365" s="278" t="s">
        <v>559</v>
      </c>
      <c r="H365" s="278">
        <f t="shared" si="12"/>
        <v>48</v>
      </c>
      <c r="I365" s="273">
        <v>3</v>
      </c>
      <c r="J365" s="273">
        <v>28</v>
      </c>
      <c r="K365" s="273">
        <v>66</v>
      </c>
      <c r="L365" s="273" t="s">
        <v>1319</v>
      </c>
      <c r="M365" s="273" t="s">
        <v>501</v>
      </c>
    </row>
    <row r="366" spans="2:13" x14ac:dyDescent="0.25">
      <c r="B366" s="273" t="s">
        <v>1320</v>
      </c>
      <c r="C366" s="273" t="s">
        <v>1009</v>
      </c>
      <c r="D366" s="273" t="s">
        <v>1010</v>
      </c>
      <c r="E366" s="273" t="s">
        <v>1177</v>
      </c>
      <c r="F366" s="277" t="s">
        <v>1317</v>
      </c>
      <c r="G366" s="278" t="s">
        <v>559</v>
      </c>
      <c r="H366" s="278">
        <f t="shared" si="12"/>
        <v>48</v>
      </c>
      <c r="I366" s="273">
        <v>3</v>
      </c>
      <c r="J366" s="273">
        <v>28</v>
      </c>
      <c r="K366" s="273">
        <v>98</v>
      </c>
      <c r="L366" s="273" t="s">
        <v>1320</v>
      </c>
      <c r="M366" s="273" t="s">
        <v>501</v>
      </c>
    </row>
    <row r="367" spans="2:13" x14ac:dyDescent="0.25">
      <c r="B367" s="273" t="s">
        <v>1321</v>
      </c>
      <c r="C367" s="273" t="s">
        <v>1009</v>
      </c>
      <c r="D367" s="273" t="s">
        <v>1010</v>
      </c>
      <c r="E367" s="273" t="s">
        <v>1151</v>
      </c>
      <c r="F367" s="277" t="s">
        <v>1322</v>
      </c>
      <c r="G367" s="278" t="s">
        <v>559</v>
      </c>
      <c r="H367" s="278">
        <f t="shared" si="12"/>
        <v>48</v>
      </c>
      <c r="I367" s="273">
        <v>3</v>
      </c>
      <c r="J367" s="273">
        <v>32</v>
      </c>
      <c r="K367" s="273">
        <v>90</v>
      </c>
      <c r="L367" s="273" t="s">
        <v>1321</v>
      </c>
      <c r="M367" s="273" t="s">
        <v>501</v>
      </c>
    </row>
    <row r="368" spans="2:13" x14ac:dyDescent="0.25">
      <c r="B368" s="273" t="s">
        <v>1323</v>
      </c>
      <c r="C368" s="273" t="s">
        <v>1009</v>
      </c>
      <c r="D368" s="273" t="s">
        <v>1010</v>
      </c>
      <c r="E368" s="273" t="s">
        <v>1151</v>
      </c>
      <c r="F368" s="277" t="s">
        <v>1324</v>
      </c>
      <c r="G368" s="278" t="s">
        <v>559</v>
      </c>
      <c r="H368" s="278">
        <f t="shared" si="12"/>
        <v>48</v>
      </c>
      <c r="I368" s="273">
        <v>3</v>
      </c>
      <c r="J368" s="273">
        <v>32</v>
      </c>
      <c r="K368" s="273">
        <v>93</v>
      </c>
      <c r="L368" s="273" t="s">
        <v>1323</v>
      </c>
      <c r="M368" s="273" t="s">
        <v>501</v>
      </c>
    </row>
    <row r="369" spans="2:13" x14ac:dyDescent="0.25">
      <c r="B369" s="273" t="s">
        <v>1325</v>
      </c>
      <c r="C369" s="273" t="s">
        <v>1009</v>
      </c>
      <c r="D369" s="273" t="s">
        <v>1010</v>
      </c>
      <c r="E369" s="273" t="s">
        <v>1151</v>
      </c>
      <c r="F369" s="277" t="s">
        <v>1326</v>
      </c>
      <c r="G369" s="278" t="s">
        <v>559</v>
      </c>
      <c r="H369" s="278">
        <f t="shared" si="12"/>
        <v>48</v>
      </c>
      <c r="I369" s="273">
        <v>3</v>
      </c>
      <c r="J369" s="273">
        <v>32</v>
      </c>
      <c r="K369" s="273">
        <v>78</v>
      </c>
      <c r="L369" s="273" t="s">
        <v>1325</v>
      </c>
      <c r="M369" s="273" t="s">
        <v>501</v>
      </c>
    </row>
    <row r="370" spans="2:13" x14ac:dyDescent="0.25">
      <c r="B370" s="273" t="s">
        <v>1327</v>
      </c>
      <c r="C370" s="273" t="s">
        <v>1009</v>
      </c>
      <c r="D370" s="273" t="s">
        <v>1010</v>
      </c>
      <c r="E370" s="273" t="s">
        <v>1151</v>
      </c>
      <c r="F370" s="277" t="s">
        <v>1328</v>
      </c>
      <c r="G370" s="278" t="s">
        <v>559</v>
      </c>
      <c r="H370" s="278">
        <f t="shared" si="12"/>
        <v>48</v>
      </c>
      <c r="I370" s="273">
        <v>3</v>
      </c>
      <c r="J370" s="273">
        <v>32</v>
      </c>
      <c r="K370" s="273">
        <v>112</v>
      </c>
      <c r="L370" s="273" t="s">
        <v>1327</v>
      </c>
      <c r="M370" s="273" t="s">
        <v>501</v>
      </c>
    </row>
    <row r="371" spans="2:13" x14ac:dyDescent="0.25">
      <c r="B371" s="273" t="s">
        <v>1329</v>
      </c>
      <c r="C371" s="273" t="s">
        <v>1009</v>
      </c>
      <c r="D371" s="273" t="s">
        <v>1010</v>
      </c>
      <c r="E371" s="273" t="s">
        <v>1151</v>
      </c>
      <c r="F371" s="277" t="s">
        <v>1330</v>
      </c>
      <c r="G371" s="278" t="s">
        <v>1044</v>
      </c>
      <c r="H371" s="278">
        <f t="shared" si="12"/>
        <v>48</v>
      </c>
      <c r="I371" s="273">
        <v>3</v>
      </c>
      <c r="J371" s="273">
        <v>32</v>
      </c>
      <c r="K371" s="273">
        <v>110</v>
      </c>
      <c r="L371" s="273" t="s">
        <v>1329</v>
      </c>
      <c r="M371" s="273" t="s">
        <v>501</v>
      </c>
    </row>
    <row r="372" spans="2:13" x14ac:dyDescent="0.25">
      <c r="B372" s="273" t="s">
        <v>1331</v>
      </c>
      <c r="C372" s="273" t="s">
        <v>1009</v>
      </c>
      <c r="D372" s="273" t="s">
        <v>1010</v>
      </c>
      <c r="E372" s="273" t="s">
        <v>1151</v>
      </c>
      <c r="F372" s="277" t="s">
        <v>1332</v>
      </c>
      <c r="G372" s="278" t="s">
        <v>559</v>
      </c>
      <c r="H372" s="278">
        <f t="shared" si="12"/>
        <v>48</v>
      </c>
      <c r="I372" s="273">
        <v>3</v>
      </c>
      <c r="J372" s="273">
        <v>32</v>
      </c>
      <c r="K372" s="273">
        <v>93</v>
      </c>
      <c r="L372" s="273" t="s">
        <v>1331</v>
      </c>
      <c r="M372" s="273" t="s">
        <v>501</v>
      </c>
    </row>
    <row r="373" spans="2:13" x14ac:dyDescent="0.25">
      <c r="B373" s="273" t="s">
        <v>1333</v>
      </c>
      <c r="C373" s="273" t="s">
        <v>1009</v>
      </c>
      <c r="D373" s="273" t="s">
        <v>1010</v>
      </c>
      <c r="E373" s="273" t="s">
        <v>1151</v>
      </c>
      <c r="F373" s="277" t="s">
        <v>1334</v>
      </c>
      <c r="G373" s="278" t="s">
        <v>559</v>
      </c>
      <c r="H373" s="278">
        <f t="shared" si="12"/>
        <v>48</v>
      </c>
      <c r="I373" s="273">
        <v>3</v>
      </c>
      <c r="J373" s="273">
        <v>32</v>
      </c>
      <c r="K373" s="273">
        <v>92</v>
      </c>
      <c r="L373" s="273" t="s">
        <v>1333</v>
      </c>
      <c r="M373" s="273" t="s">
        <v>501</v>
      </c>
    </row>
    <row r="374" spans="2:13" x14ac:dyDescent="0.25">
      <c r="B374" s="273" t="s">
        <v>1335</v>
      </c>
      <c r="C374" s="273" t="s">
        <v>1009</v>
      </c>
      <c r="D374" s="273" t="s">
        <v>1010</v>
      </c>
      <c r="E374" s="273" t="s">
        <v>1151</v>
      </c>
      <c r="F374" s="277" t="s">
        <v>1336</v>
      </c>
      <c r="G374" s="278" t="s">
        <v>559</v>
      </c>
      <c r="H374" s="278">
        <f t="shared" si="12"/>
        <v>48</v>
      </c>
      <c r="I374" s="273">
        <v>3</v>
      </c>
      <c r="J374" s="273">
        <v>32</v>
      </c>
      <c r="K374" s="273">
        <v>98</v>
      </c>
      <c r="L374" s="273" t="s">
        <v>1335</v>
      </c>
      <c r="M374" s="273" t="s">
        <v>501</v>
      </c>
    </row>
    <row r="375" spans="2:13" x14ac:dyDescent="0.25">
      <c r="B375" s="273" t="s">
        <v>1337</v>
      </c>
      <c r="C375" s="273" t="s">
        <v>1009</v>
      </c>
      <c r="D375" s="273" t="s">
        <v>1010</v>
      </c>
      <c r="E375" s="273" t="s">
        <v>1151</v>
      </c>
      <c r="F375" s="277" t="s">
        <v>1338</v>
      </c>
      <c r="G375" s="278" t="s">
        <v>559</v>
      </c>
      <c r="H375" s="278">
        <f t="shared" si="12"/>
        <v>48</v>
      </c>
      <c r="I375" s="273">
        <v>3</v>
      </c>
      <c r="J375" s="273">
        <v>32</v>
      </c>
      <c r="K375" s="273">
        <v>76</v>
      </c>
      <c r="L375" s="273" t="s">
        <v>1337</v>
      </c>
      <c r="M375" s="273" t="s">
        <v>501</v>
      </c>
    </row>
    <row r="376" spans="2:13" x14ac:dyDescent="0.25">
      <c r="B376" s="272" t="s">
        <v>1339</v>
      </c>
      <c r="C376" s="273" t="s">
        <v>1009</v>
      </c>
      <c r="D376" s="273" t="s">
        <v>1010</v>
      </c>
      <c r="E376" s="272" t="s">
        <v>1078</v>
      </c>
      <c r="F376" s="275" t="s">
        <v>1340</v>
      </c>
      <c r="G376" s="271" t="s">
        <v>559</v>
      </c>
      <c r="H376" s="278">
        <f t="shared" si="12"/>
        <v>48</v>
      </c>
      <c r="I376" s="272">
        <v>3</v>
      </c>
      <c r="J376" s="272">
        <v>25</v>
      </c>
      <c r="K376" s="272">
        <v>65</v>
      </c>
      <c r="L376" s="272" t="s">
        <v>1339</v>
      </c>
      <c r="M376" s="273" t="s">
        <v>501</v>
      </c>
    </row>
    <row r="377" spans="2:13" x14ac:dyDescent="0.25">
      <c r="B377" s="272" t="s">
        <v>1341</v>
      </c>
      <c r="C377" s="273" t="s">
        <v>1009</v>
      </c>
      <c r="D377" s="273" t="s">
        <v>1010</v>
      </c>
      <c r="E377" s="272" t="s">
        <v>1078</v>
      </c>
      <c r="F377" s="275" t="s">
        <v>1342</v>
      </c>
      <c r="G377" s="271" t="s">
        <v>559</v>
      </c>
      <c r="H377" s="278">
        <f t="shared" si="12"/>
        <v>48</v>
      </c>
      <c r="I377" s="272">
        <v>3</v>
      </c>
      <c r="J377" s="272">
        <v>25</v>
      </c>
      <c r="K377" s="272">
        <v>57</v>
      </c>
      <c r="L377" s="272" t="s">
        <v>1341</v>
      </c>
      <c r="M377" s="273" t="s">
        <v>501</v>
      </c>
    </row>
    <row r="378" spans="2:13" x14ac:dyDescent="0.25">
      <c r="B378" s="272" t="s">
        <v>1343</v>
      </c>
      <c r="C378" s="273" t="s">
        <v>1009</v>
      </c>
      <c r="D378" s="273" t="s">
        <v>1010</v>
      </c>
      <c r="E378" s="272" t="s">
        <v>1078</v>
      </c>
      <c r="F378" s="275" t="s">
        <v>1344</v>
      </c>
      <c r="G378" s="271" t="s">
        <v>559</v>
      </c>
      <c r="H378" s="278">
        <f t="shared" si="12"/>
        <v>48</v>
      </c>
      <c r="I378" s="272">
        <v>3</v>
      </c>
      <c r="J378" s="272">
        <v>25</v>
      </c>
      <c r="K378" s="272">
        <v>87</v>
      </c>
      <c r="L378" s="272" t="s">
        <v>1343</v>
      </c>
      <c r="M378" s="273" t="s">
        <v>501</v>
      </c>
    </row>
    <row r="379" spans="2:13" x14ac:dyDescent="0.25">
      <c r="B379" s="273" t="s">
        <v>543</v>
      </c>
      <c r="C379" s="273" t="s">
        <v>1009</v>
      </c>
      <c r="D379" s="273" t="s">
        <v>1010</v>
      </c>
      <c r="E379" s="273" t="s">
        <v>1151</v>
      </c>
      <c r="F379" s="277" t="s">
        <v>1345</v>
      </c>
      <c r="G379" s="278" t="s">
        <v>559</v>
      </c>
      <c r="H379" s="278">
        <f t="shared" si="12"/>
        <v>48</v>
      </c>
      <c r="I379" s="273">
        <v>4</v>
      </c>
      <c r="J379" s="273">
        <v>32</v>
      </c>
      <c r="K379" s="273">
        <v>112</v>
      </c>
      <c r="L379" s="273" t="s">
        <v>543</v>
      </c>
      <c r="M379" s="273" t="s">
        <v>501</v>
      </c>
    </row>
    <row r="380" spans="2:13" x14ac:dyDescent="0.25">
      <c r="B380" s="273" t="s">
        <v>1346</v>
      </c>
      <c r="C380" s="273" t="s">
        <v>1009</v>
      </c>
      <c r="D380" s="273" t="s">
        <v>1010</v>
      </c>
      <c r="E380" s="273" t="s">
        <v>1151</v>
      </c>
      <c r="F380" s="277" t="s">
        <v>1347</v>
      </c>
      <c r="G380" s="278" t="s">
        <v>559</v>
      </c>
      <c r="H380" s="278">
        <f t="shared" si="12"/>
        <v>48</v>
      </c>
      <c r="I380" s="273">
        <v>4</v>
      </c>
      <c r="J380" s="273">
        <v>32</v>
      </c>
      <c r="K380" s="273">
        <v>151</v>
      </c>
      <c r="L380" s="273" t="s">
        <v>1346</v>
      </c>
      <c r="M380" s="273" t="s">
        <v>501</v>
      </c>
    </row>
    <row r="381" spans="2:13" x14ac:dyDescent="0.25">
      <c r="B381" s="273" t="s">
        <v>1348</v>
      </c>
      <c r="C381" s="273" t="s">
        <v>1009</v>
      </c>
      <c r="D381" s="273" t="s">
        <v>1010</v>
      </c>
      <c r="E381" s="273" t="s">
        <v>1154</v>
      </c>
      <c r="F381" s="277" t="s">
        <v>1349</v>
      </c>
      <c r="G381" s="278" t="s">
        <v>559</v>
      </c>
      <c r="H381" s="278">
        <f t="shared" si="12"/>
        <v>48</v>
      </c>
      <c r="I381" s="273">
        <v>4</v>
      </c>
      <c r="J381" s="273">
        <v>30</v>
      </c>
      <c r="K381" s="273">
        <v>105</v>
      </c>
      <c r="L381" s="273" t="s">
        <v>1348</v>
      </c>
      <c r="M381" s="273" t="s">
        <v>501</v>
      </c>
    </row>
    <row r="382" spans="2:13" x14ac:dyDescent="0.25">
      <c r="B382" s="273" t="s">
        <v>1350</v>
      </c>
      <c r="C382" s="273" t="s">
        <v>1009</v>
      </c>
      <c r="D382" s="273" t="s">
        <v>1010</v>
      </c>
      <c r="E382" s="273" t="s">
        <v>1154</v>
      </c>
      <c r="F382" s="277" t="s">
        <v>1351</v>
      </c>
      <c r="G382" s="278" t="s">
        <v>559</v>
      </c>
      <c r="H382" s="278">
        <f t="shared" si="12"/>
        <v>48</v>
      </c>
      <c r="I382" s="273">
        <v>4</v>
      </c>
      <c r="J382" s="273">
        <v>30</v>
      </c>
      <c r="K382" s="273">
        <v>91</v>
      </c>
      <c r="L382" s="273" t="s">
        <v>1350</v>
      </c>
      <c r="M382" s="273" t="s">
        <v>501</v>
      </c>
    </row>
    <row r="383" spans="2:13" x14ac:dyDescent="0.25">
      <c r="B383" s="273" t="s">
        <v>1352</v>
      </c>
      <c r="C383" s="273" t="s">
        <v>1009</v>
      </c>
      <c r="D383" s="273" t="s">
        <v>1010</v>
      </c>
      <c r="E383" s="273" t="s">
        <v>1154</v>
      </c>
      <c r="F383" s="277" t="s">
        <v>1353</v>
      </c>
      <c r="G383" s="278" t="s">
        <v>559</v>
      </c>
      <c r="H383" s="278">
        <f t="shared" si="12"/>
        <v>48</v>
      </c>
      <c r="I383" s="273">
        <v>4</v>
      </c>
      <c r="J383" s="273">
        <v>30</v>
      </c>
      <c r="K383" s="273">
        <v>140</v>
      </c>
      <c r="L383" s="273" t="s">
        <v>1352</v>
      </c>
      <c r="M383" s="273" t="s">
        <v>501</v>
      </c>
    </row>
    <row r="384" spans="2:13" x14ac:dyDescent="0.25">
      <c r="B384" s="273" t="s">
        <v>1354</v>
      </c>
      <c r="C384" s="273" t="s">
        <v>1009</v>
      </c>
      <c r="D384" s="273" t="s">
        <v>1010</v>
      </c>
      <c r="E384" s="273" t="s">
        <v>1177</v>
      </c>
      <c r="F384" s="277" t="s">
        <v>1349</v>
      </c>
      <c r="G384" s="278" t="s">
        <v>559</v>
      </c>
      <c r="H384" s="278">
        <f t="shared" si="12"/>
        <v>48</v>
      </c>
      <c r="I384" s="273">
        <v>4</v>
      </c>
      <c r="J384" s="273">
        <v>28</v>
      </c>
      <c r="K384" s="273">
        <v>96</v>
      </c>
      <c r="L384" s="273" t="s">
        <v>1354</v>
      </c>
      <c r="M384" s="273" t="s">
        <v>501</v>
      </c>
    </row>
    <row r="385" spans="2:13" x14ac:dyDescent="0.25">
      <c r="B385" s="273" t="s">
        <v>1355</v>
      </c>
      <c r="C385" s="273" t="s">
        <v>1009</v>
      </c>
      <c r="D385" s="273" t="s">
        <v>1010</v>
      </c>
      <c r="E385" s="273" t="s">
        <v>1177</v>
      </c>
      <c r="F385" s="277" t="s">
        <v>1351</v>
      </c>
      <c r="G385" s="278" t="s">
        <v>559</v>
      </c>
      <c r="H385" s="278">
        <f t="shared" si="12"/>
        <v>48</v>
      </c>
      <c r="I385" s="273">
        <v>4</v>
      </c>
      <c r="J385" s="273">
        <v>28</v>
      </c>
      <c r="K385" s="273">
        <v>86</v>
      </c>
      <c r="L385" s="273" t="s">
        <v>1355</v>
      </c>
      <c r="M385" s="273" t="s">
        <v>501</v>
      </c>
    </row>
    <row r="386" spans="2:13" x14ac:dyDescent="0.25">
      <c r="B386" s="273" t="s">
        <v>1356</v>
      </c>
      <c r="C386" s="273" t="s">
        <v>1009</v>
      </c>
      <c r="D386" s="273" t="s">
        <v>1010</v>
      </c>
      <c r="E386" s="273" t="s">
        <v>1177</v>
      </c>
      <c r="F386" s="277" t="s">
        <v>1353</v>
      </c>
      <c r="G386" s="278" t="s">
        <v>559</v>
      </c>
      <c r="H386" s="278">
        <f t="shared" si="12"/>
        <v>48</v>
      </c>
      <c r="I386" s="273">
        <v>4</v>
      </c>
      <c r="J386" s="273">
        <v>28</v>
      </c>
      <c r="K386" s="273">
        <v>131</v>
      </c>
      <c r="L386" s="273" t="s">
        <v>1356</v>
      </c>
      <c r="M386" s="273" t="s">
        <v>501</v>
      </c>
    </row>
    <row r="387" spans="2:13" x14ac:dyDescent="0.25">
      <c r="B387" s="273" t="s">
        <v>1357</v>
      </c>
      <c r="C387" s="273" t="s">
        <v>1009</v>
      </c>
      <c r="D387" s="273" t="s">
        <v>1010</v>
      </c>
      <c r="E387" s="273" t="s">
        <v>1151</v>
      </c>
      <c r="F387" s="277" t="s">
        <v>1358</v>
      </c>
      <c r="G387" s="278" t="s">
        <v>559</v>
      </c>
      <c r="H387" s="278">
        <f t="shared" si="12"/>
        <v>48</v>
      </c>
      <c r="I387" s="273">
        <v>4</v>
      </c>
      <c r="J387" s="273">
        <v>32</v>
      </c>
      <c r="K387" s="273">
        <v>118</v>
      </c>
      <c r="L387" s="273" t="s">
        <v>1357</v>
      </c>
      <c r="M387" s="273" t="s">
        <v>501</v>
      </c>
    </row>
    <row r="388" spans="2:13" x14ac:dyDescent="0.25">
      <c r="B388" s="273" t="s">
        <v>1359</v>
      </c>
      <c r="C388" s="273" t="s">
        <v>1009</v>
      </c>
      <c r="D388" s="273" t="s">
        <v>1010</v>
      </c>
      <c r="E388" s="273" t="s">
        <v>1151</v>
      </c>
      <c r="F388" s="277" t="s">
        <v>1360</v>
      </c>
      <c r="G388" s="278" t="s">
        <v>559</v>
      </c>
      <c r="H388" s="278">
        <f t="shared" si="12"/>
        <v>48</v>
      </c>
      <c r="I388" s="273">
        <v>4</v>
      </c>
      <c r="J388" s="273">
        <v>32</v>
      </c>
      <c r="K388" s="273">
        <v>102</v>
      </c>
      <c r="L388" s="273" t="s">
        <v>1359</v>
      </c>
      <c r="M388" s="273" t="s">
        <v>501</v>
      </c>
    </row>
    <row r="389" spans="2:13" x14ac:dyDescent="0.25">
      <c r="B389" s="273" t="s">
        <v>1361</v>
      </c>
      <c r="C389" s="273" t="s">
        <v>1009</v>
      </c>
      <c r="D389" s="273" t="s">
        <v>1010</v>
      </c>
      <c r="E389" s="273" t="s">
        <v>1151</v>
      </c>
      <c r="F389" s="277" t="s">
        <v>1362</v>
      </c>
      <c r="G389" s="278" t="s">
        <v>1044</v>
      </c>
      <c r="H389" s="278">
        <f t="shared" si="12"/>
        <v>48</v>
      </c>
      <c r="I389" s="273">
        <v>4</v>
      </c>
      <c r="J389" s="273">
        <v>32</v>
      </c>
      <c r="K389" s="273">
        <v>142</v>
      </c>
      <c r="L389" s="273" t="s">
        <v>1361</v>
      </c>
      <c r="M389" s="273" t="s">
        <v>501</v>
      </c>
    </row>
    <row r="390" spans="2:13" x14ac:dyDescent="0.25">
      <c r="B390" s="273" t="s">
        <v>539</v>
      </c>
      <c r="C390" s="273" t="s">
        <v>1009</v>
      </c>
      <c r="D390" s="273" t="s">
        <v>1010</v>
      </c>
      <c r="E390" s="273" t="s">
        <v>1151</v>
      </c>
      <c r="F390" s="277" t="s">
        <v>1363</v>
      </c>
      <c r="G390" s="278" t="s">
        <v>559</v>
      </c>
      <c r="H390" s="278">
        <f t="shared" si="12"/>
        <v>48</v>
      </c>
      <c r="I390" s="273">
        <v>4</v>
      </c>
      <c r="J390" s="273">
        <v>32</v>
      </c>
      <c r="K390" s="273">
        <v>118</v>
      </c>
      <c r="L390" s="273" t="s">
        <v>539</v>
      </c>
      <c r="M390" s="273" t="s">
        <v>501</v>
      </c>
    </row>
    <row r="391" spans="2:13" x14ac:dyDescent="0.25">
      <c r="B391" s="273" t="s">
        <v>1364</v>
      </c>
      <c r="C391" s="273" t="s">
        <v>1009</v>
      </c>
      <c r="D391" s="273" t="s">
        <v>1010</v>
      </c>
      <c r="E391" s="273" t="s">
        <v>1151</v>
      </c>
      <c r="F391" s="277" t="s">
        <v>1365</v>
      </c>
      <c r="G391" s="278" t="s">
        <v>559</v>
      </c>
      <c r="H391" s="278">
        <f t="shared" si="12"/>
        <v>48</v>
      </c>
      <c r="I391" s="273">
        <v>4</v>
      </c>
      <c r="J391" s="273">
        <v>32</v>
      </c>
      <c r="K391" s="273">
        <v>120</v>
      </c>
      <c r="L391" s="273" t="s">
        <v>1364</v>
      </c>
      <c r="M391" s="273" t="s">
        <v>501</v>
      </c>
    </row>
    <row r="392" spans="2:13" x14ac:dyDescent="0.25">
      <c r="B392" s="273" t="s">
        <v>1366</v>
      </c>
      <c r="C392" s="273" t="s">
        <v>1009</v>
      </c>
      <c r="D392" s="273" t="s">
        <v>1010</v>
      </c>
      <c r="E392" s="273" t="s">
        <v>1151</v>
      </c>
      <c r="F392" s="277" t="s">
        <v>1367</v>
      </c>
      <c r="G392" s="278" t="s">
        <v>559</v>
      </c>
      <c r="H392" s="278">
        <f t="shared" si="12"/>
        <v>48</v>
      </c>
      <c r="I392" s="273">
        <v>4</v>
      </c>
      <c r="J392" s="273">
        <v>32</v>
      </c>
      <c r="K392" s="273">
        <v>105</v>
      </c>
      <c r="L392" s="273" t="s">
        <v>1366</v>
      </c>
      <c r="M392" s="273" t="s">
        <v>501</v>
      </c>
    </row>
    <row r="393" spans="2:13" x14ac:dyDescent="0.25">
      <c r="B393" s="272" t="s">
        <v>1368</v>
      </c>
      <c r="C393" s="273" t="s">
        <v>1009</v>
      </c>
      <c r="D393" s="273" t="s">
        <v>1010</v>
      </c>
      <c r="E393" s="272" t="s">
        <v>1151</v>
      </c>
      <c r="F393" s="275" t="s">
        <v>1369</v>
      </c>
      <c r="G393" s="271" t="s">
        <v>559</v>
      </c>
      <c r="H393" s="278">
        <f t="shared" si="12"/>
        <v>48</v>
      </c>
      <c r="I393" s="272">
        <v>4</v>
      </c>
      <c r="J393" s="272">
        <v>32</v>
      </c>
      <c r="K393" s="272">
        <v>144</v>
      </c>
      <c r="L393" s="272" t="s">
        <v>1368</v>
      </c>
      <c r="M393" s="273" t="s">
        <v>501</v>
      </c>
    </row>
    <row r="394" spans="2:13" x14ac:dyDescent="0.25">
      <c r="B394" s="272" t="s">
        <v>1370</v>
      </c>
      <c r="C394" s="273" t="s">
        <v>1009</v>
      </c>
      <c r="D394" s="273" t="s">
        <v>1010</v>
      </c>
      <c r="E394" s="272" t="s">
        <v>1078</v>
      </c>
      <c r="F394" s="275" t="s">
        <v>1371</v>
      </c>
      <c r="G394" s="271" t="s">
        <v>559</v>
      </c>
      <c r="H394" s="278">
        <f t="shared" si="12"/>
        <v>48</v>
      </c>
      <c r="I394" s="272">
        <v>4</v>
      </c>
      <c r="J394" s="272">
        <v>25</v>
      </c>
      <c r="K394" s="272">
        <v>85</v>
      </c>
      <c r="L394" s="272" t="s">
        <v>1370</v>
      </c>
      <c r="M394" s="273" t="s">
        <v>501</v>
      </c>
    </row>
    <row r="395" spans="2:13" x14ac:dyDescent="0.25">
      <c r="B395" s="272" t="s">
        <v>1372</v>
      </c>
      <c r="C395" s="273" t="s">
        <v>1009</v>
      </c>
      <c r="D395" s="273" t="s">
        <v>1010</v>
      </c>
      <c r="E395" s="272" t="s">
        <v>1078</v>
      </c>
      <c r="F395" s="275" t="s">
        <v>1373</v>
      </c>
      <c r="G395" s="271" t="s">
        <v>559</v>
      </c>
      <c r="H395" s="278">
        <f t="shared" si="12"/>
        <v>48</v>
      </c>
      <c r="I395" s="272">
        <v>4</v>
      </c>
      <c r="J395" s="272">
        <v>25</v>
      </c>
      <c r="K395" s="272">
        <v>76</v>
      </c>
      <c r="L395" s="272" t="s">
        <v>1372</v>
      </c>
      <c r="M395" s="273" t="s">
        <v>501</v>
      </c>
    </row>
    <row r="396" spans="2:13" x14ac:dyDescent="0.25">
      <c r="B396" s="272" t="s">
        <v>1374</v>
      </c>
      <c r="C396" s="273" t="s">
        <v>1009</v>
      </c>
      <c r="D396" s="273" t="s">
        <v>1010</v>
      </c>
      <c r="E396" s="272" t="s">
        <v>1078</v>
      </c>
      <c r="F396" s="275" t="s">
        <v>1375</v>
      </c>
      <c r="G396" s="271" t="s">
        <v>559</v>
      </c>
      <c r="H396" s="278">
        <f t="shared" si="12"/>
        <v>48</v>
      </c>
      <c r="I396" s="272">
        <v>4</v>
      </c>
      <c r="J396" s="272">
        <v>25</v>
      </c>
      <c r="K396" s="272">
        <v>112</v>
      </c>
      <c r="L396" s="272" t="s">
        <v>1374</v>
      </c>
      <c r="M396" s="273" t="s">
        <v>501</v>
      </c>
    </row>
    <row r="397" spans="2:13" x14ac:dyDescent="0.25">
      <c r="B397" s="273" t="s">
        <v>1376</v>
      </c>
      <c r="C397" s="273" t="s">
        <v>1009</v>
      </c>
      <c r="D397" s="273" t="s">
        <v>1010</v>
      </c>
      <c r="E397" s="273" t="s">
        <v>1151</v>
      </c>
      <c r="F397" s="277" t="s">
        <v>1377</v>
      </c>
      <c r="G397" s="278" t="s">
        <v>559</v>
      </c>
      <c r="H397" s="278">
        <f t="shared" si="12"/>
        <v>48</v>
      </c>
      <c r="I397" s="273">
        <v>5</v>
      </c>
      <c r="J397" s="273">
        <v>32</v>
      </c>
      <c r="K397" s="273">
        <v>148</v>
      </c>
      <c r="L397" s="273" t="s">
        <v>1376</v>
      </c>
      <c r="M397" s="273" t="s">
        <v>501</v>
      </c>
    </row>
    <row r="398" spans="2:13" x14ac:dyDescent="0.25">
      <c r="B398" s="273" t="s">
        <v>1378</v>
      </c>
      <c r="C398" s="273" t="s">
        <v>1009</v>
      </c>
      <c r="D398" s="273" t="s">
        <v>1010</v>
      </c>
      <c r="E398" s="273" t="s">
        <v>1151</v>
      </c>
      <c r="F398" s="277" t="s">
        <v>1379</v>
      </c>
      <c r="G398" s="278" t="s">
        <v>559</v>
      </c>
      <c r="H398" s="278">
        <f t="shared" si="12"/>
        <v>48</v>
      </c>
      <c r="I398" s="273">
        <v>6</v>
      </c>
      <c r="J398" s="273">
        <v>32</v>
      </c>
      <c r="K398" s="273">
        <v>175</v>
      </c>
      <c r="L398" s="273" t="s">
        <v>1378</v>
      </c>
      <c r="M398" s="273" t="s">
        <v>501</v>
      </c>
    </row>
    <row r="399" spans="2:13" x14ac:dyDescent="0.25">
      <c r="B399" s="273" t="s">
        <v>1380</v>
      </c>
      <c r="C399" s="273" t="s">
        <v>1009</v>
      </c>
      <c r="D399" s="273" t="s">
        <v>1010</v>
      </c>
      <c r="E399" s="273" t="s">
        <v>1151</v>
      </c>
      <c r="F399" s="277" t="s">
        <v>1381</v>
      </c>
      <c r="G399" s="278" t="s">
        <v>559</v>
      </c>
      <c r="H399" s="278">
        <f t="shared" ref="H399:H462" si="13">MID(B399,2,1)*12</f>
        <v>48</v>
      </c>
      <c r="I399" s="273">
        <v>6</v>
      </c>
      <c r="J399" s="273">
        <v>32</v>
      </c>
      <c r="K399" s="273">
        <v>156</v>
      </c>
      <c r="L399" s="273" t="s">
        <v>1380</v>
      </c>
      <c r="M399" s="273" t="s">
        <v>501</v>
      </c>
    </row>
    <row r="400" spans="2:13" x14ac:dyDescent="0.25">
      <c r="B400" s="273" t="s">
        <v>1382</v>
      </c>
      <c r="C400" s="273" t="s">
        <v>1009</v>
      </c>
      <c r="D400" s="273" t="s">
        <v>1010</v>
      </c>
      <c r="E400" s="273" t="s">
        <v>1151</v>
      </c>
      <c r="F400" s="277" t="s">
        <v>1383</v>
      </c>
      <c r="G400" s="278" t="s">
        <v>559</v>
      </c>
      <c r="H400" s="278">
        <f t="shared" si="13"/>
        <v>48</v>
      </c>
      <c r="I400" s="273">
        <v>6</v>
      </c>
      <c r="J400" s="273">
        <v>32</v>
      </c>
      <c r="K400" s="273">
        <v>182</v>
      </c>
      <c r="L400" s="273" t="s">
        <v>1382</v>
      </c>
      <c r="M400" s="273" t="s">
        <v>501</v>
      </c>
    </row>
    <row r="401" spans="2:13" x14ac:dyDescent="0.25">
      <c r="B401" s="272" t="s">
        <v>1384</v>
      </c>
      <c r="C401" s="273" t="s">
        <v>1009</v>
      </c>
      <c r="D401" s="273" t="s">
        <v>1010</v>
      </c>
      <c r="E401" s="272" t="s">
        <v>1151</v>
      </c>
      <c r="F401" s="275" t="s">
        <v>1385</v>
      </c>
      <c r="G401" s="271" t="s">
        <v>559</v>
      </c>
      <c r="H401" s="278">
        <f t="shared" si="13"/>
        <v>48</v>
      </c>
      <c r="I401" s="272">
        <v>6</v>
      </c>
      <c r="J401" s="272">
        <v>32</v>
      </c>
      <c r="K401" s="272">
        <v>222</v>
      </c>
      <c r="L401" s="272" t="s">
        <v>1384</v>
      </c>
      <c r="M401" s="273" t="s">
        <v>501</v>
      </c>
    </row>
    <row r="402" spans="2:13" x14ac:dyDescent="0.25">
      <c r="B402" s="272" t="s">
        <v>1386</v>
      </c>
      <c r="C402" s="273" t="s">
        <v>1009</v>
      </c>
      <c r="D402" s="273" t="s">
        <v>1010</v>
      </c>
      <c r="E402" s="272" t="s">
        <v>1151</v>
      </c>
      <c r="F402" s="275" t="s">
        <v>1387</v>
      </c>
      <c r="G402" s="271" t="s">
        <v>559</v>
      </c>
      <c r="H402" s="278">
        <f t="shared" si="13"/>
        <v>48</v>
      </c>
      <c r="I402" s="272">
        <v>6</v>
      </c>
      <c r="J402" s="272">
        <v>32</v>
      </c>
      <c r="K402" s="272">
        <v>255</v>
      </c>
      <c r="L402" s="272" t="s">
        <v>1386</v>
      </c>
      <c r="M402" s="273" t="s">
        <v>501</v>
      </c>
    </row>
    <row r="403" spans="2:13" x14ac:dyDescent="0.25">
      <c r="B403" s="272" t="s">
        <v>1388</v>
      </c>
      <c r="C403" s="273" t="s">
        <v>1009</v>
      </c>
      <c r="D403" s="273" t="s">
        <v>1010</v>
      </c>
      <c r="E403" s="272" t="s">
        <v>1154</v>
      </c>
      <c r="F403" s="277" t="s">
        <v>1389</v>
      </c>
      <c r="G403" s="271" t="s">
        <v>559</v>
      </c>
      <c r="H403" s="278">
        <f t="shared" si="13"/>
        <v>48</v>
      </c>
      <c r="I403" s="272">
        <v>6</v>
      </c>
      <c r="J403" s="272">
        <v>32</v>
      </c>
      <c r="K403" s="272">
        <v>158</v>
      </c>
      <c r="L403" s="272" t="s">
        <v>1388</v>
      </c>
      <c r="M403" s="273" t="s">
        <v>501</v>
      </c>
    </row>
    <row r="404" spans="2:13" x14ac:dyDescent="0.25">
      <c r="B404" s="272" t="s">
        <v>1390</v>
      </c>
      <c r="C404" s="273" t="s">
        <v>1009</v>
      </c>
      <c r="D404" s="273" t="s">
        <v>1010</v>
      </c>
      <c r="E404" s="272" t="s">
        <v>1177</v>
      </c>
      <c r="F404" s="277" t="s">
        <v>1391</v>
      </c>
      <c r="G404" s="271" t="s">
        <v>559</v>
      </c>
      <c r="H404" s="278">
        <f t="shared" si="13"/>
        <v>48</v>
      </c>
      <c r="I404" s="272">
        <v>6</v>
      </c>
      <c r="J404" s="272">
        <v>32</v>
      </c>
      <c r="K404" s="272">
        <v>144</v>
      </c>
      <c r="L404" s="272" t="s">
        <v>1390</v>
      </c>
      <c r="M404" s="273" t="s">
        <v>501</v>
      </c>
    </row>
    <row r="405" spans="2:13" x14ac:dyDescent="0.25">
      <c r="B405" s="273" t="s">
        <v>1392</v>
      </c>
      <c r="C405" s="273" t="s">
        <v>1009</v>
      </c>
      <c r="D405" s="273" t="s">
        <v>1010</v>
      </c>
      <c r="E405" s="273" t="s">
        <v>1151</v>
      </c>
      <c r="F405" s="277" t="s">
        <v>1393</v>
      </c>
      <c r="G405" s="278" t="s">
        <v>559</v>
      </c>
      <c r="H405" s="278">
        <f t="shared" si="13"/>
        <v>48</v>
      </c>
      <c r="I405" s="273">
        <v>8</v>
      </c>
      <c r="J405" s="273">
        <v>32</v>
      </c>
      <c r="K405" s="273">
        <v>224</v>
      </c>
      <c r="L405" s="273" t="s">
        <v>1392</v>
      </c>
      <c r="M405" s="273" t="s">
        <v>501</v>
      </c>
    </row>
    <row r="406" spans="2:13" x14ac:dyDescent="0.25">
      <c r="B406" s="273" t="s">
        <v>1394</v>
      </c>
      <c r="C406" s="273" t="s">
        <v>1009</v>
      </c>
      <c r="D406" s="273" t="s">
        <v>1010</v>
      </c>
      <c r="E406" s="273" t="s">
        <v>1151</v>
      </c>
      <c r="F406" s="277" t="s">
        <v>1395</v>
      </c>
      <c r="G406" s="278" t="s">
        <v>559</v>
      </c>
      <c r="H406" s="278">
        <f t="shared" si="13"/>
        <v>48</v>
      </c>
      <c r="I406" s="273">
        <v>8</v>
      </c>
      <c r="J406" s="273">
        <v>32</v>
      </c>
      <c r="K406" s="273">
        <v>204</v>
      </c>
      <c r="L406" s="273" t="s">
        <v>1394</v>
      </c>
      <c r="M406" s="273" t="s">
        <v>501</v>
      </c>
    </row>
    <row r="407" spans="2:13" x14ac:dyDescent="0.25">
      <c r="B407" s="272" t="s">
        <v>1396</v>
      </c>
      <c r="C407" s="273" t="s">
        <v>1009</v>
      </c>
      <c r="D407" s="273" t="s">
        <v>1010</v>
      </c>
      <c r="E407" s="272" t="s">
        <v>1397</v>
      </c>
      <c r="F407" s="275" t="s">
        <v>1398</v>
      </c>
      <c r="G407" s="271" t="s">
        <v>559</v>
      </c>
      <c r="H407" s="278">
        <f t="shared" si="13"/>
        <v>48</v>
      </c>
      <c r="I407" s="272">
        <v>8</v>
      </c>
      <c r="J407" s="272">
        <v>44</v>
      </c>
      <c r="K407" s="272">
        <v>392</v>
      </c>
      <c r="L407" s="272" t="s">
        <v>1396</v>
      </c>
      <c r="M407" s="273" t="s">
        <v>501</v>
      </c>
    </row>
    <row r="408" spans="2:13" x14ac:dyDescent="0.25">
      <c r="B408" s="272" t="s">
        <v>1399</v>
      </c>
      <c r="C408" s="273" t="s">
        <v>1009</v>
      </c>
      <c r="D408" s="273" t="s">
        <v>1010</v>
      </c>
      <c r="E408" s="272" t="s">
        <v>1400</v>
      </c>
      <c r="F408" s="275" t="s">
        <v>1401</v>
      </c>
      <c r="G408" s="271" t="s">
        <v>559</v>
      </c>
      <c r="H408" s="278">
        <f t="shared" si="13"/>
        <v>48</v>
      </c>
      <c r="I408" s="272">
        <v>10</v>
      </c>
      <c r="J408" s="272">
        <v>54</v>
      </c>
      <c r="K408" s="272">
        <v>588</v>
      </c>
      <c r="L408" s="272" t="s">
        <v>1399</v>
      </c>
      <c r="M408" s="273" t="s">
        <v>501</v>
      </c>
    </row>
    <row r="409" spans="2:13" x14ac:dyDescent="0.25">
      <c r="B409" s="272" t="s">
        <v>1402</v>
      </c>
      <c r="C409" s="273" t="s">
        <v>1009</v>
      </c>
      <c r="D409" s="273" t="s">
        <v>1010</v>
      </c>
      <c r="E409" s="272" t="s">
        <v>1400</v>
      </c>
      <c r="F409" s="275" t="s">
        <v>1403</v>
      </c>
      <c r="G409" s="271" t="s">
        <v>559</v>
      </c>
      <c r="H409" s="278">
        <f t="shared" si="13"/>
        <v>48</v>
      </c>
      <c r="I409" s="272">
        <v>12</v>
      </c>
      <c r="J409" s="272">
        <v>54</v>
      </c>
      <c r="K409" s="272">
        <v>702</v>
      </c>
      <c r="L409" s="272" t="s">
        <v>1402</v>
      </c>
      <c r="M409" s="273" t="s">
        <v>501</v>
      </c>
    </row>
    <row r="410" spans="2:13" x14ac:dyDescent="0.25">
      <c r="B410" s="273" t="s">
        <v>1404</v>
      </c>
      <c r="C410" s="273" t="s">
        <v>1009</v>
      </c>
      <c r="D410" s="273" t="s">
        <v>1010</v>
      </c>
      <c r="E410" s="273" t="s">
        <v>1405</v>
      </c>
      <c r="F410" s="277" t="s">
        <v>1406</v>
      </c>
      <c r="G410" s="278" t="s">
        <v>559</v>
      </c>
      <c r="H410" s="278">
        <f t="shared" si="13"/>
        <v>60</v>
      </c>
      <c r="I410" s="273">
        <v>1</v>
      </c>
      <c r="J410" s="273">
        <v>40</v>
      </c>
      <c r="K410" s="273">
        <v>36</v>
      </c>
      <c r="L410" s="273" t="s">
        <v>1404</v>
      </c>
      <c r="M410" s="273" t="s">
        <v>501</v>
      </c>
    </row>
    <row r="411" spans="2:13" x14ac:dyDescent="0.25">
      <c r="B411" s="273" t="s">
        <v>1407</v>
      </c>
      <c r="C411" s="273" t="s">
        <v>1009</v>
      </c>
      <c r="D411" s="273" t="s">
        <v>1010</v>
      </c>
      <c r="E411" s="273" t="s">
        <v>1405</v>
      </c>
      <c r="F411" s="277" t="s">
        <v>1408</v>
      </c>
      <c r="G411" s="278" t="s">
        <v>559</v>
      </c>
      <c r="H411" s="278">
        <f t="shared" si="13"/>
        <v>60</v>
      </c>
      <c r="I411" s="273">
        <v>1</v>
      </c>
      <c r="J411" s="273">
        <v>40</v>
      </c>
      <c r="K411" s="273">
        <v>36</v>
      </c>
      <c r="L411" s="273" t="s">
        <v>1407</v>
      </c>
      <c r="M411" s="273" t="s">
        <v>501</v>
      </c>
    </row>
    <row r="412" spans="2:13" x14ac:dyDescent="0.25">
      <c r="B412" s="273" t="s">
        <v>1409</v>
      </c>
      <c r="C412" s="273" t="s">
        <v>1009</v>
      </c>
      <c r="D412" s="273" t="s">
        <v>1010</v>
      </c>
      <c r="E412" s="273" t="s">
        <v>1405</v>
      </c>
      <c r="F412" s="277" t="s">
        <v>1410</v>
      </c>
      <c r="G412" s="278" t="s">
        <v>559</v>
      </c>
      <c r="H412" s="278">
        <f t="shared" si="13"/>
        <v>60</v>
      </c>
      <c r="I412" s="273">
        <v>1</v>
      </c>
      <c r="J412" s="273">
        <v>40</v>
      </c>
      <c r="K412" s="273">
        <v>35</v>
      </c>
      <c r="L412" s="273" t="s">
        <v>1409</v>
      </c>
      <c r="M412" s="273" t="s">
        <v>501</v>
      </c>
    </row>
    <row r="413" spans="2:13" x14ac:dyDescent="0.25">
      <c r="B413" s="273" t="s">
        <v>1411</v>
      </c>
      <c r="C413" s="273" t="s">
        <v>1009</v>
      </c>
      <c r="D413" s="273" t="s">
        <v>1010</v>
      </c>
      <c r="E413" s="273" t="s">
        <v>1405</v>
      </c>
      <c r="F413" s="277" t="s">
        <v>1412</v>
      </c>
      <c r="G413" s="278" t="s">
        <v>559</v>
      </c>
      <c r="H413" s="278">
        <f t="shared" si="13"/>
        <v>60</v>
      </c>
      <c r="I413" s="273">
        <v>1</v>
      </c>
      <c r="J413" s="273">
        <v>40</v>
      </c>
      <c r="K413" s="273">
        <v>34</v>
      </c>
      <c r="L413" s="273" t="s">
        <v>1411</v>
      </c>
      <c r="M413" s="273" t="s">
        <v>501</v>
      </c>
    </row>
    <row r="414" spans="2:13" x14ac:dyDescent="0.25">
      <c r="B414" s="273" t="s">
        <v>1413</v>
      </c>
      <c r="C414" s="273" t="s">
        <v>1009</v>
      </c>
      <c r="D414" s="273" t="s">
        <v>1010</v>
      </c>
      <c r="E414" s="273" t="s">
        <v>1405</v>
      </c>
      <c r="F414" s="277" t="s">
        <v>1414</v>
      </c>
      <c r="G414" s="278" t="s">
        <v>559</v>
      </c>
      <c r="H414" s="278">
        <f t="shared" si="13"/>
        <v>60</v>
      </c>
      <c r="I414" s="273">
        <v>1</v>
      </c>
      <c r="J414" s="273">
        <v>40</v>
      </c>
      <c r="K414" s="273">
        <v>43</v>
      </c>
      <c r="L414" s="273" t="s">
        <v>1413</v>
      </c>
      <c r="M414" s="273" t="s">
        <v>501</v>
      </c>
    </row>
    <row r="415" spans="2:13" x14ac:dyDescent="0.25">
      <c r="B415" s="273" t="s">
        <v>1415</v>
      </c>
      <c r="C415" s="273" t="s">
        <v>1009</v>
      </c>
      <c r="D415" s="273" t="s">
        <v>1010</v>
      </c>
      <c r="E415" s="273" t="s">
        <v>1405</v>
      </c>
      <c r="F415" s="277" t="s">
        <v>1416</v>
      </c>
      <c r="G415" s="278" t="s">
        <v>559</v>
      </c>
      <c r="H415" s="278">
        <f t="shared" si="13"/>
        <v>60</v>
      </c>
      <c r="I415" s="273">
        <v>2</v>
      </c>
      <c r="J415" s="273">
        <v>40</v>
      </c>
      <c r="K415" s="273">
        <v>72</v>
      </c>
      <c r="L415" s="273" t="s">
        <v>1415</v>
      </c>
      <c r="M415" s="273" t="s">
        <v>501</v>
      </c>
    </row>
    <row r="416" spans="2:13" x14ac:dyDescent="0.25">
      <c r="B416" s="273" t="s">
        <v>1417</v>
      </c>
      <c r="C416" s="273" t="s">
        <v>1009</v>
      </c>
      <c r="D416" s="273" t="s">
        <v>1010</v>
      </c>
      <c r="E416" s="273" t="s">
        <v>1405</v>
      </c>
      <c r="F416" s="277" t="s">
        <v>1418</v>
      </c>
      <c r="G416" s="278" t="s">
        <v>559</v>
      </c>
      <c r="H416" s="278">
        <f t="shared" si="13"/>
        <v>60</v>
      </c>
      <c r="I416" s="273">
        <v>2</v>
      </c>
      <c r="J416" s="273">
        <v>40</v>
      </c>
      <c r="K416" s="273">
        <v>67</v>
      </c>
      <c r="L416" s="273" t="s">
        <v>1417</v>
      </c>
      <c r="M416" s="273" t="s">
        <v>501</v>
      </c>
    </row>
    <row r="417" spans="2:13" x14ac:dyDescent="0.25">
      <c r="B417" s="273" t="s">
        <v>1419</v>
      </c>
      <c r="C417" s="273" t="s">
        <v>1009</v>
      </c>
      <c r="D417" s="273" t="s">
        <v>1010</v>
      </c>
      <c r="E417" s="273" t="s">
        <v>1405</v>
      </c>
      <c r="F417" s="277" t="s">
        <v>1420</v>
      </c>
      <c r="G417" s="278" t="s">
        <v>559</v>
      </c>
      <c r="H417" s="278">
        <f t="shared" si="13"/>
        <v>60</v>
      </c>
      <c r="I417" s="273">
        <v>2</v>
      </c>
      <c r="J417" s="273">
        <v>40</v>
      </c>
      <c r="K417" s="273">
        <v>80</v>
      </c>
      <c r="L417" s="273" t="s">
        <v>1419</v>
      </c>
      <c r="M417" s="273" t="s">
        <v>501</v>
      </c>
    </row>
    <row r="418" spans="2:13" x14ac:dyDescent="0.25">
      <c r="B418" s="273" t="s">
        <v>1421</v>
      </c>
      <c r="C418" s="273" t="s">
        <v>1009</v>
      </c>
      <c r="D418" s="273" t="s">
        <v>1010</v>
      </c>
      <c r="E418" s="273" t="s">
        <v>1405</v>
      </c>
      <c r="F418" s="277" t="s">
        <v>1422</v>
      </c>
      <c r="G418" s="278" t="s">
        <v>559</v>
      </c>
      <c r="H418" s="278">
        <f t="shared" si="13"/>
        <v>60</v>
      </c>
      <c r="I418" s="273">
        <v>2</v>
      </c>
      <c r="J418" s="273">
        <v>40</v>
      </c>
      <c r="K418" s="273">
        <v>73</v>
      </c>
      <c r="L418" s="273" t="s">
        <v>1421</v>
      </c>
      <c r="M418" s="273" t="s">
        <v>501</v>
      </c>
    </row>
    <row r="419" spans="2:13" x14ac:dyDescent="0.25">
      <c r="B419" s="273" t="s">
        <v>1423</v>
      </c>
      <c r="C419" s="273" t="s">
        <v>1009</v>
      </c>
      <c r="D419" s="273" t="s">
        <v>1010</v>
      </c>
      <c r="E419" s="273" t="s">
        <v>1405</v>
      </c>
      <c r="F419" s="277" t="s">
        <v>1424</v>
      </c>
      <c r="G419" s="278" t="s">
        <v>559</v>
      </c>
      <c r="H419" s="278">
        <f t="shared" si="13"/>
        <v>60</v>
      </c>
      <c r="I419" s="273">
        <v>3</v>
      </c>
      <c r="J419" s="273">
        <v>40</v>
      </c>
      <c r="K419" s="273">
        <v>106</v>
      </c>
      <c r="L419" s="273" t="s">
        <v>1423</v>
      </c>
      <c r="M419" s="273" t="s">
        <v>501</v>
      </c>
    </row>
    <row r="420" spans="2:13" x14ac:dyDescent="0.25">
      <c r="B420" s="273" t="s">
        <v>1425</v>
      </c>
      <c r="C420" s="273" t="s">
        <v>1009</v>
      </c>
      <c r="D420" s="273" t="s">
        <v>1010</v>
      </c>
      <c r="E420" s="273" t="s">
        <v>1405</v>
      </c>
      <c r="F420" s="277" t="s">
        <v>1426</v>
      </c>
      <c r="G420" s="278" t="s">
        <v>559</v>
      </c>
      <c r="H420" s="278">
        <f t="shared" si="13"/>
        <v>60</v>
      </c>
      <c r="I420" s="273">
        <v>3</v>
      </c>
      <c r="J420" s="273">
        <v>40</v>
      </c>
      <c r="K420" s="273">
        <v>108</v>
      </c>
      <c r="L420" s="273" t="s">
        <v>1425</v>
      </c>
      <c r="M420" s="273" t="s">
        <v>501</v>
      </c>
    </row>
    <row r="421" spans="2:13" x14ac:dyDescent="0.25">
      <c r="B421" s="273" t="s">
        <v>1427</v>
      </c>
      <c r="C421" s="273" t="s">
        <v>1009</v>
      </c>
      <c r="D421" s="273" t="s">
        <v>1010</v>
      </c>
      <c r="E421" s="273" t="s">
        <v>1405</v>
      </c>
      <c r="F421" s="277" t="s">
        <v>1428</v>
      </c>
      <c r="G421" s="278" t="s">
        <v>559</v>
      </c>
      <c r="H421" s="278">
        <f t="shared" si="13"/>
        <v>60</v>
      </c>
      <c r="I421" s="273">
        <v>4</v>
      </c>
      <c r="J421" s="273">
        <v>40</v>
      </c>
      <c r="K421" s="273">
        <v>134</v>
      </c>
      <c r="L421" s="273" t="s">
        <v>1427</v>
      </c>
      <c r="M421" s="273" t="s">
        <v>501</v>
      </c>
    </row>
    <row r="422" spans="2:13" x14ac:dyDescent="0.25">
      <c r="B422" s="273" t="s">
        <v>1429</v>
      </c>
      <c r="C422" s="273" t="s">
        <v>1009</v>
      </c>
      <c r="D422" s="273" t="s">
        <v>1010</v>
      </c>
      <c r="E422" s="273" t="s">
        <v>1405</v>
      </c>
      <c r="F422" s="277" t="s">
        <v>1430</v>
      </c>
      <c r="G422" s="278" t="s">
        <v>559</v>
      </c>
      <c r="H422" s="278">
        <f t="shared" si="13"/>
        <v>60</v>
      </c>
      <c r="I422" s="273">
        <v>4</v>
      </c>
      <c r="J422" s="273">
        <v>40</v>
      </c>
      <c r="K422" s="273">
        <v>126</v>
      </c>
      <c r="L422" s="273" t="s">
        <v>1429</v>
      </c>
      <c r="M422" s="273" t="s">
        <v>501</v>
      </c>
    </row>
    <row r="423" spans="2:13" x14ac:dyDescent="0.25">
      <c r="B423" s="273" t="s">
        <v>1431</v>
      </c>
      <c r="C423" s="273" t="s">
        <v>1009</v>
      </c>
      <c r="D423" s="273" t="s">
        <v>1010</v>
      </c>
      <c r="E423" s="273" t="s">
        <v>1432</v>
      </c>
      <c r="F423" s="277" t="s">
        <v>1433</v>
      </c>
      <c r="G423" s="278" t="s">
        <v>559</v>
      </c>
      <c r="H423" s="278">
        <f t="shared" si="13"/>
        <v>72</v>
      </c>
      <c r="I423" s="273">
        <v>2</v>
      </c>
      <c r="J423" s="273">
        <v>65</v>
      </c>
      <c r="K423" s="273">
        <v>147</v>
      </c>
      <c r="L423" s="273" t="s">
        <v>1431</v>
      </c>
      <c r="M423" s="273" t="s">
        <v>501</v>
      </c>
    </row>
    <row r="424" spans="2:13" x14ac:dyDescent="0.25">
      <c r="B424" s="273" t="s">
        <v>1434</v>
      </c>
      <c r="C424" s="273" t="s">
        <v>1009</v>
      </c>
      <c r="D424" s="273" t="s">
        <v>1010</v>
      </c>
      <c r="E424" s="273" t="s">
        <v>1435</v>
      </c>
      <c r="F424" s="277" t="s">
        <v>1436</v>
      </c>
      <c r="G424" s="278" t="s">
        <v>559</v>
      </c>
      <c r="H424" s="278">
        <f t="shared" si="13"/>
        <v>96</v>
      </c>
      <c r="I424" s="273">
        <v>1</v>
      </c>
      <c r="J424" s="273">
        <v>59</v>
      </c>
      <c r="K424" s="273">
        <v>58</v>
      </c>
      <c r="L424" s="273" t="s">
        <v>1434</v>
      </c>
      <c r="M424" s="273" t="s">
        <v>501</v>
      </c>
    </row>
    <row r="425" spans="2:13" x14ac:dyDescent="0.25">
      <c r="B425" s="273" t="s">
        <v>1437</v>
      </c>
      <c r="C425" s="273" t="s">
        <v>1009</v>
      </c>
      <c r="D425" s="273" t="s">
        <v>1010</v>
      </c>
      <c r="E425" s="273" t="s">
        <v>1435</v>
      </c>
      <c r="F425" s="277" t="s">
        <v>1438</v>
      </c>
      <c r="G425" s="278" t="s">
        <v>559</v>
      </c>
      <c r="H425" s="278">
        <f t="shared" si="13"/>
        <v>96</v>
      </c>
      <c r="I425" s="273">
        <v>1</v>
      </c>
      <c r="J425" s="273">
        <v>59</v>
      </c>
      <c r="K425" s="273">
        <v>55</v>
      </c>
      <c r="L425" s="273" t="s">
        <v>1437</v>
      </c>
      <c r="M425" s="273" t="s">
        <v>501</v>
      </c>
    </row>
    <row r="426" spans="2:13" x14ac:dyDescent="0.25">
      <c r="B426" s="273" t="s">
        <v>1439</v>
      </c>
      <c r="C426" s="273" t="s">
        <v>1009</v>
      </c>
      <c r="D426" s="273" t="s">
        <v>1010</v>
      </c>
      <c r="E426" s="273" t="s">
        <v>1435</v>
      </c>
      <c r="F426" s="277" t="s">
        <v>1440</v>
      </c>
      <c r="G426" s="278" t="s">
        <v>559</v>
      </c>
      <c r="H426" s="278">
        <f t="shared" si="13"/>
        <v>96</v>
      </c>
      <c r="I426" s="273">
        <v>1</v>
      </c>
      <c r="J426" s="273">
        <v>59</v>
      </c>
      <c r="K426" s="273">
        <v>49</v>
      </c>
      <c r="L426" s="273" t="s">
        <v>1439</v>
      </c>
      <c r="M426" s="273" t="s">
        <v>501</v>
      </c>
    </row>
    <row r="427" spans="2:13" x14ac:dyDescent="0.25">
      <c r="B427" s="273" t="s">
        <v>1441</v>
      </c>
      <c r="C427" s="273" t="s">
        <v>1009</v>
      </c>
      <c r="D427" s="273" t="s">
        <v>1010</v>
      </c>
      <c r="E427" s="273" t="s">
        <v>1435</v>
      </c>
      <c r="F427" s="277" t="s">
        <v>1442</v>
      </c>
      <c r="G427" s="278" t="s">
        <v>559</v>
      </c>
      <c r="H427" s="278">
        <f t="shared" si="13"/>
        <v>96</v>
      </c>
      <c r="I427" s="273">
        <v>1</v>
      </c>
      <c r="J427" s="273">
        <v>59</v>
      </c>
      <c r="K427" s="273">
        <v>68</v>
      </c>
      <c r="L427" s="273" t="s">
        <v>1441</v>
      </c>
      <c r="M427" s="273" t="s">
        <v>501</v>
      </c>
    </row>
    <row r="428" spans="2:13" x14ac:dyDescent="0.25">
      <c r="B428" s="273" t="s">
        <v>1443</v>
      </c>
      <c r="C428" s="273" t="s">
        <v>1009</v>
      </c>
      <c r="D428" s="273" t="s">
        <v>1010</v>
      </c>
      <c r="E428" s="273" t="s">
        <v>1435</v>
      </c>
      <c r="F428" s="277" t="s">
        <v>1444</v>
      </c>
      <c r="G428" s="278" t="s">
        <v>559</v>
      </c>
      <c r="H428" s="278">
        <f t="shared" si="13"/>
        <v>96</v>
      </c>
      <c r="I428" s="273">
        <v>1</v>
      </c>
      <c r="J428" s="273">
        <v>59</v>
      </c>
      <c r="K428" s="273">
        <v>57</v>
      </c>
      <c r="L428" s="273" t="s">
        <v>1443</v>
      </c>
      <c r="M428" s="273" t="s">
        <v>501</v>
      </c>
    </row>
    <row r="429" spans="2:13" x14ac:dyDescent="0.25">
      <c r="B429" s="273" t="s">
        <v>1445</v>
      </c>
      <c r="C429" s="273" t="s">
        <v>1009</v>
      </c>
      <c r="D429" s="273" t="s">
        <v>1010</v>
      </c>
      <c r="E429" s="273" t="s">
        <v>1435</v>
      </c>
      <c r="F429" s="277" t="s">
        <v>1446</v>
      </c>
      <c r="G429" s="278" t="s">
        <v>559</v>
      </c>
      <c r="H429" s="278">
        <f t="shared" si="13"/>
        <v>96</v>
      </c>
      <c r="I429" s="273">
        <v>1</v>
      </c>
      <c r="J429" s="273">
        <v>59</v>
      </c>
      <c r="K429" s="273">
        <v>71</v>
      </c>
      <c r="L429" s="273" t="s">
        <v>1445</v>
      </c>
      <c r="M429" s="273" t="s">
        <v>501</v>
      </c>
    </row>
    <row r="430" spans="2:13" x14ac:dyDescent="0.25">
      <c r="B430" s="273" t="s">
        <v>1447</v>
      </c>
      <c r="C430" s="273" t="s">
        <v>1009</v>
      </c>
      <c r="D430" s="273" t="s">
        <v>1010</v>
      </c>
      <c r="E430" s="273" t="s">
        <v>1448</v>
      </c>
      <c r="F430" s="277" t="s">
        <v>1449</v>
      </c>
      <c r="G430" s="278" t="s">
        <v>559</v>
      </c>
      <c r="H430" s="278">
        <f t="shared" si="13"/>
        <v>96</v>
      </c>
      <c r="I430" s="273">
        <v>1</v>
      </c>
      <c r="J430" s="273">
        <v>86</v>
      </c>
      <c r="K430" s="273">
        <v>85</v>
      </c>
      <c r="L430" s="273" t="s">
        <v>1447</v>
      </c>
      <c r="M430" s="273" t="s">
        <v>501</v>
      </c>
    </row>
    <row r="431" spans="2:13" x14ac:dyDescent="0.25">
      <c r="B431" s="273" t="s">
        <v>1450</v>
      </c>
      <c r="C431" s="273" t="s">
        <v>1009</v>
      </c>
      <c r="D431" s="273" t="s">
        <v>1010</v>
      </c>
      <c r="E431" s="273" t="s">
        <v>1448</v>
      </c>
      <c r="F431" s="277" t="s">
        <v>1451</v>
      </c>
      <c r="G431" s="278" t="s">
        <v>559</v>
      </c>
      <c r="H431" s="278">
        <f t="shared" si="13"/>
        <v>96</v>
      </c>
      <c r="I431" s="273">
        <v>1</v>
      </c>
      <c r="J431" s="273">
        <v>86</v>
      </c>
      <c r="K431" s="273">
        <v>80</v>
      </c>
      <c r="L431" s="273" t="s">
        <v>1450</v>
      </c>
      <c r="M431" s="273" t="s">
        <v>501</v>
      </c>
    </row>
    <row r="432" spans="2:13" x14ac:dyDescent="0.25">
      <c r="B432" s="273" t="s">
        <v>1452</v>
      </c>
      <c r="C432" s="273" t="s">
        <v>1009</v>
      </c>
      <c r="D432" s="273" t="s">
        <v>1010</v>
      </c>
      <c r="E432" s="273" t="s">
        <v>1435</v>
      </c>
      <c r="F432" s="277" t="s">
        <v>1453</v>
      </c>
      <c r="G432" s="278" t="s">
        <v>559</v>
      </c>
      <c r="H432" s="278">
        <f t="shared" si="13"/>
        <v>96</v>
      </c>
      <c r="I432" s="273">
        <v>2</v>
      </c>
      <c r="J432" s="273">
        <v>59</v>
      </c>
      <c r="K432" s="273">
        <v>109</v>
      </c>
      <c r="L432" s="273" t="s">
        <v>1452</v>
      </c>
      <c r="M432" s="273" t="s">
        <v>501</v>
      </c>
    </row>
    <row r="433" spans="2:13" x14ac:dyDescent="0.25">
      <c r="B433" s="273" t="s">
        <v>1454</v>
      </c>
      <c r="C433" s="273" t="s">
        <v>1009</v>
      </c>
      <c r="D433" s="273" t="s">
        <v>1010</v>
      </c>
      <c r="E433" s="273" t="s">
        <v>1435</v>
      </c>
      <c r="F433" s="277" t="s">
        <v>1455</v>
      </c>
      <c r="G433" s="278" t="s">
        <v>559</v>
      </c>
      <c r="H433" s="278">
        <f t="shared" si="13"/>
        <v>96</v>
      </c>
      <c r="I433" s="273">
        <v>2</v>
      </c>
      <c r="J433" s="273">
        <v>59</v>
      </c>
      <c r="K433" s="273">
        <v>98</v>
      </c>
      <c r="L433" s="273" t="s">
        <v>1454</v>
      </c>
      <c r="M433" s="273" t="s">
        <v>501</v>
      </c>
    </row>
    <row r="434" spans="2:13" x14ac:dyDescent="0.25">
      <c r="B434" s="273" t="s">
        <v>1456</v>
      </c>
      <c r="C434" s="273" t="s">
        <v>1009</v>
      </c>
      <c r="D434" s="273" t="s">
        <v>1010</v>
      </c>
      <c r="E434" s="273" t="s">
        <v>1448</v>
      </c>
      <c r="F434" s="277" t="s">
        <v>1457</v>
      </c>
      <c r="G434" s="278" t="s">
        <v>559</v>
      </c>
      <c r="H434" s="278">
        <f t="shared" si="13"/>
        <v>96</v>
      </c>
      <c r="I434" s="273">
        <v>2</v>
      </c>
      <c r="J434" s="273">
        <v>86</v>
      </c>
      <c r="K434" s="273">
        <v>160</v>
      </c>
      <c r="L434" s="273" t="s">
        <v>1456</v>
      </c>
      <c r="M434" s="273" t="s">
        <v>501</v>
      </c>
    </row>
    <row r="435" spans="2:13" x14ac:dyDescent="0.25">
      <c r="B435" s="273" t="s">
        <v>1458</v>
      </c>
      <c r="C435" s="273" t="s">
        <v>1009</v>
      </c>
      <c r="D435" s="273" t="s">
        <v>1010</v>
      </c>
      <c r="E435" s="273" t="s">
        <v>1435</v>
      </c>
      <c r="F435" s="277" t="s">
        <v>1459</v>
      </c>
      <c r="G435" s="278" t="s">
        <v>559</v>
      </c>
      <c r="H435" s="278">
        <f t="shared" si="13"/>
        <v>96</v>
      </c>
      <c r="I435" s="273">
        <v>3</v>
      </c>
      <c r="J435" s="273">
        <v>59</v>
      </c>
      <c r="K435" s="273">
        <v>167</v>
      </c>
      <c r="L435" s="273" t="s">
        <v>1458</v>
      </c>
      <c r="M435" s="273" t="s">
        <v>501</v>
      </c>
    </row>
    <row r="436" spans="2:13" x14ac:dyDescent="0.25">
      <c r="B436" s="273" t="s">
        <v>1460</v>
      </c>
      <c r="C436" s="273" t="s">
        <v>1009</v>
      </c>
      <c r="D436" s="273" t="s">
        <v>1010</v>
      </c>
      <c r="E436" s="273" t="s">
        <v>1435</v>
      </c>
      <c r="F436" s="277" t="s">
        <v>1461</v>
      </c>
      <c r="G436" s="278" t="s">
        <v>559</v>
      </c>
      <c r="H436" s="278">
        <f t="shared" si="13"/>
        <v>96</v>
      </c>
      <c r="I436" s="273">
        <v>4</v>
      </c>
      <c r="J436" s="273">
        <v>59</v>
      </c>
      <c r="K436" s="273">
        <v>219</v>
      </c>
      <c r="L436" s="273" t="s">
        <v>1460</v>
      </c>
      <c r="M436" s="273" t="s">
        <v>501</v>
      </c>
    </row>
    <row r="437" spans="2:13" x14ac:dyDescent="0.25">
      <c r="B437" s="273" t="s">
        <v>1462</v>
      </c>
      <c r="C437" s="273" t="s">
        <v>1009</v>
      </c>
      <c r="D437" s="273" t="s">
        <v>1010</v>
      </c>
      <c r="E437" s="273" t="s">
        <v>1448</v>
      </c>
      <c r="F437" s="277" t="s">
        <v>1463</v>
      </c>
      <c r="G437" s="278" t="s">
        <v>559</v>
      </c>
      <c r="H437" s="278">
        <f t="shared" si="13"/>
        <v>96</v>
      </c>
      <c r="I437" s="273">
        <v>4</v>
      </c>
      <c r="J437" s="273">
        <v>86</v>
      </c>
      <c r="K437" s="273">
        <v>320</v>
      </c>
      <c r="L437" s="273" t="s">
        <v>1462</v>
      </c>
      <c r="M437" s="273" t="s">
        <v>501</v>
      </c>
    </row>
    <row r="438" spans="2:13" x14ac:dyDescent="0.25">
      <c r="B438" s="273" t="s">
        <v>1464</v>
      </c>
      <c r="C438" s="273" t="s">
        <v>1009</v>
      </c>
      <c r="D438" s="273" t="s">
        <v>1010</v>
      </c>
      <c r="E438" s="273" t="s">
        <v>1435</v>
      </c>
      <c r="F438" s="277" t="s">
        <v>1465</v>
      </c>
      <c r="G438" s="278" t="s">
        <v>559</v>
      </c>
      <c r="H438" s="278">
        <f t="shared" si="13"/>
        <v>96</v>
      </c>
      <c r="I438" s="273">
        <v>6</v>
      </c>
      <c r="J438" s="273">
        <v>59</v>
      </c>
      <c r="K438" s="273">
        <v>328</v>
      </c>
      <c r="L438" s="273" t="s">
        <v>1464</v>
      </c>
      <c r="M438" s="273" t="s">
        <v>501</v>
      </c>
    </row>
    <row r="439" spans="2:13" x14ac:dyDescent="0.25">
      <c r="B439" s="273" t="s">
        <v>1466</v>
      </c>
      <c r="C439" s="273" t="s">
        <v>1009</v>
      </c>
      <c r="D439" s="273" t="s">
        <v>1467</v>
      </c>
      <c r="E439" s="273" t="s">
        <v>1468</v>
      </c>
      <c r="F439" s="277" t="s">
        <v>1469</v>
      </c>
      <c r="G439" s="278" t="s">
        <v>559</v>
      </c>
      <c r="H439" s="278">
        <f t="shared" si="13"/>
        <v>24</v>
      </c>
      <c r="I439" s="273">
        <v>1</v>
      </c>
      <c r="J439" s="273">
        <v>14</v>
      </c>
      <c r="K439" s="273">
        <v>18</v>
      </c>
      <c r="L439" s="273" t="s">
        <v>1466</v>
      </c>
      <c r="M439" s="273" t="s">
        <v>501</v>
      </c>
    </row>
    <row r="440" spans="2:13" x14ac:dyDescent="0.25">
      <c r="B440" s="273" t="s">
        <v>1470</v>
      </c>
      <c r="C440" s="273" t="s">
        <v>1009</v>
      </c>
      <c r="D440" s="273" t="s">
        <v>1467</v>
      </c>
      <c r="E440" s="273" t="s">
        <v>1471</v>
      </c>
      <c r="F440" s="277" t="s">
        <v>1472</v>
      </c>
      <c r="G440" s="278" t="s">
        <v>559</v>
      </c>
      <c r="H440" s="278">
        <f t="shared" si="13"/>
        <v>24</v>
      </c>
      <c r="I440" s="273">
        <v>1</v>
      </c>
      <c r="J440" s="273">
        <v>24</v>
      </c>
      <c r="K440" s="273">
        <v>29</v>
      </c>
      <c r="L440" s="273" t="s">
        <v>1470</v>
      </c>
      <c r="M440" s="273" t="s">
        <v>501</v>
      </c>
    </row>
    <row r="441" spans="2:13" x14ac:dyDescent="0.25">
      <c r="B441" s="273" t="s">
        <v>1473</v>
      </c>
      <c r="C441" s="273" t="s">
        <v>1009</v>
      </c>
      <c r="D441" s="273" t="s">
        <v>1467</v>
      </c>
      <c r="E441" s="273" t="s">
        <v>1471</v>
      </c>
      <c r="F441" s="277" t="s">
        <v>1474</v>
      </c>
      <c r="G441" s="278" t="s">
        <v>559</v>
      </c>
      <c r="H441" s="278">
        <f t="shared" si="13"/>
        <v>24</v>
      </c>
      <c r="I441" s="273">
        <v>2</v>
      </c>
      <c r="J441" s="273">
        <v>24</v>
      </c>
      <c r="K441" s="273">
        <v>55</v>
      </c>
      <c r="L441" s="273" t="s">
        <v>1473</v>
      </c>
      <c r="M441" s="273" t="s">
        <v>501</v>
      </c>
    </row>
    <row r="442" spans="2:13" x14ac:dyDescent="0.25">
      <c r="B442" s="273" t="s">
        <v>1475</v>
      </c>
      <c r="C442" s="273" t="s">
        <v>1009</v>
      </c>
      <c r="D442" s="273" t="s">
        <v>1467</v>
      </c>
      <c r="E442" s="273" t="s">
        <v>1468</v>
      </c>
      <c r="F442" s="277" t="s">
        <v>1476</v>
      </c>
      <c r="G442" s="278" t="s">
        <v>559</v>
      </c>
      <c r="H442" s="278">
        <f t="shared" si="13"/>
        <v>24</v>
      </c>
      <c r="I442" s="273">
        <v>2</v>
      </c>
      <c r="J442" s="273">
        <v>14</v>
      </c>
      <c r="K442" s="273">
        <v>35</v>
      </c>
      <c r="L442" s="273" t="s">
        <v>1475</v>
      </c>
      <c r="M442" s="273" t="s">
        <v>501</v>
      </c>
    </row>
    <row r="443" spans="2:13" x14ac:dyDescent="0.25">
      <c r="B443" s="273" t="s">
        <v>1477</v>
      </c>
      <c r="C443" s="273" t="s">
        <v>1009</v>
      </c>
      <c r="D443" s="273" t="s">
        <v>1467</v>
      </c>
      <c r="E443" s="273" t="s">
        <v>1478</v>
      </c>
      <c r="F443" s="277" t="s">
        <v>1479</v>
      </c>
      <c r="G443" s="278" t="s">
        <v>559</v>
      </c>
      <c r="H443" s="278">
        <f t="shared" si="13"/>
        <v>36</v>
      </c>
      <c r="I443" s="273">
        <v>1</v>
      </c>
      <c r="J443" s="273">
        <v>39</v>
      </c>
      <c r="K443" s="273">
        <v>43</v>
      </c>
      <c r="L443" s="273" t="s">
        <v>1477</v>
      </c>
      <c r="M443" s="273" t="s">
        <v>501</v>
      </c>
    </row>
    <row r="444" spans="2:13" x14ac:dyDescent="0.25">
      <c r="B444" s="273" t="s">
        <v>1480</v>
      </c>
      <c r="C444" s="273" t="s">
        <v>1009</v>
      </c>
      <c r="D444" s="273" t="s">
        <v>1467</v>
      </c>
      <c r="E444" s="273" t="s">
        <v>1481</v>
      </c>
      <c r="F444" s="277" t="s">
        <v>1482</v>
      </c>
      <c r="G444" s="278" t="s">
        <v>559</v>
      </c>
      <c r="H444" s="278">
        <f t="shared" si="13"/>
        <v>36</v>
      </c>
      <c r="I444" s="273">
        <v>1</v>
      </c>
      <c r="J444" s="273">
        <v>21</v>
      </c>
      <c r="K444" s="273">
        <v>27</v>
      </c>
      <c r="L444" s="273" t="s">
        <v>1480</v>
      </c>
      <c r="M444" s="273" t="s">
        <v>501</v>
      </c>
    </row>
    <row r="445" spans="2:13" x14ac:dyDescent="0.25">
      <c r="B445" s="273" t="s">
        <v>1483</v>
      </c>
      <c r="C445" s="273" t="s">
        <v>1009</v>
      </c>
      <c r="D445" s="273" t="s">
        <v>1467</v>
      </c>
      <c r="E445" s="273" t="s">
        <v>1478</v>
      </c>
      <c r="F445" s="277" t="s">
        <v>1484</v>
      </c>
      <c r="G445" s="278" t="s">
        <v>559</v>
      </c>
      <c r="H445" s="278">
        <f t="shared" si="13"/>
        <v>36</v>
      </c>
      <c r="I445" s="273">
        <v>2</v>
      </c>
      <c r="J445" s="273">
        <v>39</v>
      </c>
      <c r="K445" s="273">
        <v>85</v>
      </c>
      <c r="L445" s="273" t="s">
        <v>1483</v>
      </c>
      <c r="M445" s="273" t="s">
        <v>501</v>
      </c>
    </row>
    <row r="446" spans="2:13" x14ac:dyDescent="0.25">
      <c r="B446" s="273" t="s">
        <v>1485</v>
      </c>
      <c r="C446" s="273" t="s">
        <v>1009</v>
      </c>
      <c r="D446" s="273" t="s">
        <v>1467</v>
      </c>
      <c r="E446" s="273" t="s">
        <v>1486</v>
      </c>
      <c r="F446" s="277" t="s">
        <v>1487</v>
      </c>
      <c r="G446" s="278" t="s">
        <v>633</v>
      </c>
      <c r="H446" s="278">
        <f t="shared" si="13"/>
        <v>36</v>
      </c>
      <c r="I446" s="273">
        <v>2</v>
      </c>
      <c r="J446" s="273">
        <v>50</v>
      </c>
      <c r="K446" s="273">
        <v>114</v>
      </c>
      <c r="L446" s="273" t="s">
        <v>1485</v>
      </c>
      <c r="M446" s="273" t="s">
        <v>501</v>
      </c>
    </row>
    <row r="447" spans="2:13" x14ac:dyDescent="0.25">
      <c r="B447" s="273" t="s">
        <v>1488</v>
      </c>
      <c r="C447" s="273" t="s">
        <v>1009</v>
      </c>
      <c r="D447" s="273" t="s">
        <v>1467</v>
      </c>
      <c r="E447" s="273" t="s">
        <v>1481</v>
      </c>
      <c r="F447" s="277" t="s">
        <v>1482</v>
      </c>
      <c r="G447" s="278" t="s">
        <v>559</v>
      </c>
      <c r="H447" s="278">
        <f t="shared" si="13"/>
        <v>36</v>
      </c>
      <c r="I447" s="273">
        <v>2</v>
      </c>
      <c r="J447" s="273">
        <v>21</v>
      </c>
      <c r="K447" s="273">
        <v>52</v>
      </c>
      <c r="L447" s="273" t="s">
        <v>1488</v>
      </c>
      <c r="M447" s="273" t="s">
        <v>501</v>
      </c>
    </row>
    <row r="448" spans="2:13" x14ac:dyDescent="0.25">
      <c r="B448" s="273" t="s">
        <v>1489</v>
      </c>
      <c r="C448" s="273" t="s">
        <v>1009</v>
      </c>
      <c r="D448" s="273" t="s">
        <v>1467</v>
      </c>
      <c r="E448" s="273" t="s">
        <v>1400</v>
      </c>
      <c r="F448" s="277" t="s">
        <v>1490</v>
      </c>
      <c r="G448" s="278" t="s">
        <v>559</v>
      </c>
      <c r="H448" s="278">
        <f t="shared" si="13"/>
        <v>48</v>
      </c>
      <c r="I448" s="273">
        <v>1</v>
      </c>
      <c r="J448" s="273">
        <v>54</v>
      </c>
      <c r="K448" s="273">
        <v>59</v>
      </c>
      <c r="L448" s="273" t="s">
        <v>1489</v>
      </c>
      <c r="M448" s="273" t="s">
        <v>501</v>
      </c>
    </row>
    <row r="449" spans="2:13" x14ac:dyDescent="0.25">
      <c r="B449" s="273" t="s">
        <v>1491</v>
      </c>
      <c r="C449" s="273" t="s">
        <v>1009</v>
      </c>
      <c r="D449" s="273" t="s">
        <v>1467</v>
      </c>
      <c r="E449" s="273" t="s">
        <v>1492</v>
      </c>
      <c r="F449" s="277" t="s">
        <v>1493</v>
      </c>
      <c r="G449" s="278" t="s">
        <v>559</v>
      </c>
      <c r="H449" s="278">
        <f t="shared" si="13"/>
        <v>48</v>
      </c>
      <c r="I449" s="273">
        <v>1</v>
      </c>
      <c r="J449" s="273">
        <v>28</v>
      </c>
      <c r="K449" s="273">
        <v>32</v>
      </c>
      <c r="L449" s="273" t="s">
        <v>1491</v>
      </c>
      <c r="M449" s="273" t="s">
        <v>501</v>
      </c>
    </row>
    <row r="450" spans="2:13" x14ac:dyDescent="0.25">
      <c r="B450" s="272" t="s">
        <v>1494</v>
      </c>
      <c r="C450" s="273" t="s">
        <v>1009</v>
      </c>
      <c r="D450" s="273" t="s">
        <v>1467</v>
      </c>
      <c r="E450" s="272" t="s">
        <v>1495</v>
      </c>
      <c r="F450" s="275" t="s">
        <v>1496</v>
      </c>
      <c r="G450" s="271" t="s">
        <v>559</v>
      </c>
      <c r="H450" s="278">
        <f t="shared" si="13"/>
        <v>48</v>
      </c>
      <c r="I450" s="272">
        <v>1</v>
      </c>
      <c r="J450" s="272">
        <v>54</v>
      </c>
      <c r="K450" s="272">
        <v>62</v>
      </c>
      <c r="L450" s="272" t="s">
        <v>1494</v>
      </c>
      <c r="M450" s="273" t="s">
        <v>501</v>
      </c>
    </row>
    <row r="451" spans="2:13" x14ac:dyDescent="0.25">
      <c r="B451" s="273" t="s">
        <v>1497</v>
      </c>
      <c r="C451" s="273" t="s">
        <v>1009</v>
      </c>
      <c r="D451" s="273" t="s">
        <v>1467</v>
      </c>
      <c r="E451" s="273" t="s">
        <v>1400</v>
      </c>
      <c r="F451" s="277" t="s">
        <v>1498</v>
      </c>
      <c r="G451" s="278" t="s">
        <v>559</v>
      </c>
      <c r="H451" s="278">
        <f t="shared" si="13"/>
        <v>48</v>
      </c>
      <c r="I451" s="273">
        <v>2</v>
      </c>
      <c r="J451" s="273">
        <v>54</v>
      </c>
      <c r="K451" s="273">
        <v>117</v>
      </c>
      <c r="L451" s="273" t="s">
        <v>1497</v>
      </c>
      <c r="M451" s="273" t="s">
        <v>501</v>
      </c>
    </row>
    <row r="452" spans="2:13" x14ac:dyDescent="0.25">
      <c r="B452" s="272" t="s">
        <v>1499</v>
      </c>
      <c r="C452" s="273" t="s">
        <v>1009</v>
      </c>
      <c r="D452" s="273" t="s">
        <v>1467</v>
      </c>
      <c r="E452" s="272" t="s">
        <v>1495</v>
      </c>
      <c r="F452" s="275" t="s">
        <v>1500</v>
      </c>
      <c r="G452" s="271" t="s">
        <v>559</v>
      </c>
      <c r="H452" s="278">
        <f t="shared" si="13"/>
        <v>48</v>
      </c>
      <c r="I452" s="272">
        <v>2</v>
      </c>
      <c r="J452" s="272">
        <v>54</v>
      </c>
      <c r="K452" s="272">
        <v>118</v>
      </c>
      <c r="L452" s="272" t="s">
        <v>1499</v>
      </c>
      <c r="M452" s="273" t="s">
        <v>501</v>
      </c>
    </row>
    <row r="453" spans="2:13" x14ac:dyDescent="0.25">
      <c r="B453" s="273" t="s">
        <v>1501</v>
      </c>
      <c r="C453" s="273" t="s">
        <v>1009</v>
      </c>
      <c r="D453" s="273" t="s">
        <v>1467</v>
      </c>
      <c r="E453" s="273" t="s">
        <v>1400</v>
      </c>
      <c r="F453" s="277" t="s">
        <v>1502</v>
      </c>
      <c r="G453" s="278" t="s">
        <v>559</v>
      </c>
      <c r="H453" s="278">
        <f t="shared" si="13"/>
        <v>48</v>
      </c>
      <c r="I453" s="273">
        <v>3</v>
      </c>
      <c r="J453" s="273">
        <v>54</v>
      </c>
      <c r="K453" s="273">
        <v>177</v>
      </c>
      <c r="L453" s="273" t="s">
        <v>1501</v>
      </c>
      <c r="M453" s="273" t="s">
        <v>501</v>
      </c>
    </row>
    <row r="454" spans="2:13" x14ac:dyDescent="0.25">
      <c r="B454" s="272" t="s">
        <v>1503</v>
      </c>
      <c r="C454" s="273" t="s">
        <v>1009</v>
      </c>
      <c r="D454" s="273" t="s">
        <v>1467</v>
      </c>
      <c r="E454" s="272" t="s">
        <v>1495</v>
      </c>
      <c r="F454" s="275" t="s">
        <v>1504</v>
      </c>
      <c r="G454" s="271" t="s">
        <v>559</v>
      </c>
      <c r="H454" s="278">
        <f t="shared" si="13"/>
        <v>48</v>
      </c>
      <c r="I454" s="272">
        <v>3</v>
      </c>
      <c r="J454" s="272">
        <v>54</v>
      </c>
      <c r="K454" s="272">
        <v>182</v>
      </c>
      <c r="L454" s="272" t="s">
        <v>1503</v>
      </c>
      <c r="M454" s="273" t="s">
        <v>501</v>
      </c>
    </row>
    <row r="455" spans="2:13" x14ac:dyDescent="0.25">
      <c r="B455" s="273" t="s">
        <v>1505</v>
      </c>
      <c r="C455" s="273" t="s">
        <v>1009</v>
      </c>
      <c r="D455" s="273" t="s">
        <v>1467</v>
      </c>
      <c r="E455" s="273" t="s">
        <v>1400</v>
      </c>
      <c r="F455" s="277" t="s">
        <v>1506</v>
      </c>
      <c r="G455" s="278" t="s">
        <v>559</v>
      </c>
      <c r="H455" s="278">
        <f t="shared" si="13"/>
        <v>48</v>
      </c>
      <c r="I455" s="273">
        <v>4</v>
      </c>
      <c r="J455" s="273">
        <v>54</v>
      </c>
      <c r="K455" s="273">
        <v>234</v>
      </c>
      <c r="L455" s="273" t="s">
        <v>1505</v>
      </c>
      <c r="M455" s="273" t="s">
        <v>501</v>
      </c>
    </row>
    <row r="456" spans="2:13" x14ac:dyDescent="0.25">
      <c r="B456" s="272" t="s">
        <v>1507</v>
      </c>
      <c r="C456" s="273" t="s">
        <v>1009</v>
      </c>
      <c r="D456" s="273" t="s">
        <v>1467</v>
      </c>
      <c r="E456" s="272" t="s">
        <v>1495</v>
      </c>
      <c r="F456" s="275" t="s">
        <v>1508</v>
      </c>
      <c r="G456" s="271" t="s">
        <v>559</v>
      </c>
      <c r="H456" s="278">
        <f t="shared" si="13"/>
        <v>48</v>
      </c>
      <c r="I456" s="272">
        <v>4</v>
      </c>
      <c r="J456" s="272">
        <v>54</v>
      </c>
      <c r="K456" s="272">
        <v>240</v>
      </c>
      <c r="L456" s="272" t="s">
        <v>1507</v>
      </c>
      <c r="M456" s="273" t="s">
        <v>501</v>
      </c>
    </row>
    <row r="457" spans="2:13" x14ac:dyDescent="0.25">
      <c r="B457" s="273" t="s">
        <v>1509</v>
      </c>
      <c r="C457" s="273" t="s">
        <v>1009</v>
      </c>
      <c r="D457" s="273" t="s">
        <v>1467</v>
      </c>
      <c r="E457" s="273" t="s">
        <v>1400</v>
      </c>
      <c r="F457" s="277" t="s">
        <v>1510</v>
      </c>
      <c r="G457" s="278" t="s">
        <v>559</v>
      </c>
      <c r="H457" s="278">
        <f t="shared" si="13"/>
        <v>48</v>
      </c>
      <c r="I457" s="273">
        <v>5</v>
      </c>
      <c r="J457" s="273">
        <v>54</v>
      </c>
      <c r="K457" s="273">
        <v>294</v>
      </c>
      <c r="L457" s="273" t="s">
        <v>1509</v>
      </c>
      <c r="M457" s="273" t="s">
        <v>501</v>
      </c>
    </row>
    <row r="458" spans="2:13" x14ac:dyDescent="0.25">
      <c r="B458" s="273" t="s">
        <v>1511</v>
      </c>
      <c r="C458" s="273" t="s">
        <v>1009</v>
      </c>
      <c r="D458" s="273" t="s">
        <v>1467</v>
      </c>
      <c r="E458" s="273" t="s">
        <v>1400</v>
      </c>
      <c r="F458" s="277" t="s">
        <v>1512</v>
      </c>
      <c r="G458" s="278" t="s">
        <v>559</v>
      </c>
      <c r="H458" s="278">
        <f t="shared" si="13"/>
        <v>48</v>
      </c>
      <c r="I458" s="273">
        <v>6</v>
      </c>
      <c r="J458" s="273">
        <v>54</v>
      </c>
      <c r="K458" s="273">
        <v>351</v>
      </c>
      <c r="L458" s="273" t="s">
        <v>1511</v>
      </c>
      <c r="M458" s="273" t="s">
        <v>501</v>
      </c>
    </row>
    <row r="459" spans="2:13" x14ac:dyDescent="0.25">
      <c r="B459" s="272" t="s">
        <v>1513</v>
      </c>
      <c r="C459" s="273" t="s">
        <v>1009</v>
      </c>
      <c r="D459" s="273" t="s">
        <v>1467</v>
      </c>
      <c r="E459" s="272" t="s">
        <v>1495</v>
      </c>
      <c r="F459" s="275" t="s">
        <v>1514</v>
      </c>
      <c r="G459" s="271" t="s">
        <v>559</v>
      </c>
      <c r="H459" s="278">
        <f t="shared" si="13"/>
        <v>48</v>
      </c>
      <c r="I459" s="272">
        <v>6</v>
      </c>
      <c r="J459" s="272">
        <v>54</v>
      </c>
      <c r="K459" s="272">
        <v>364</v>
      </c>
      <c r="L459" s="272" t="s">
        <v>1513</v>
      </c>
      <c r="M459" s="273" t="s">
        <v>501</v>
      </c>
    </row>
    <row r="460" spans="2:13" x14ac:dyDescent="0.25">
      <c r="B460" s="273" t="s">
        <v>1515</v>
      </c>
      <c r="C460" s="273" t="s">
        <v>1009</v>
      </c>
      <c r="D460" s="273" t="s">
        <v>1467</v>
      </c>
      <c r="E460" s="273" t="s">
        <v>1400</v>
      </c>
      <c r="F460" s="277" t="s">
        <v>1516</v>
      </c>
      <c r="G460" s="278" t="s">
        <v>559</v>
      </c>
      <c r="H460" s="278">
        <f t="shared" si="13"/>
        <v>48</v>
      </c>
      <c r="I460" s="273">
        <v>8</v>
      </c>
      <c r="J460" s="273">
        <v>54</v>
      </c>
      <c r="K460" s="273">
        <v>468</v>
      </c>
      <c r="L460" s="273" t="s">
        <v>1515</v>
      </c>
      <c r="M460" s="273" t="s">
        <v>501</v>
      </c>
    </row>
    <row r="461" spans="2:13" x14ac:dyDescent="0.25">
      <c r="B461" s="273" t="s">
        <v>1517</v>
      </c>
      <c r="C461" s="273" t="s">
        <v>1009</v>
      </c>
      <c r="D461" s="273" t="s">
        <v>1467</v>
      </c>
      <c r="E461" s="273" t="s">
        <v>1518</v>
      </c>
      <c r="F461" s="277" t="s">
        <v>1519</v>
      </c>
      <c r="G461" s="278" t="s">
        <v>559</v>
      </c>
      <c r="H461" s="278">
        <f t="shared" si="13"/>
        <v>60</v>
      </c>
      <c r="I461" s="273">
        <v>1</v>
      </c>
      <c r="J461" s="273">
        <v>80</v>
      </c>
      <c r="K461" s="273">
        <v>89</v>
      </c>
      <c r="L461" s="273" t="s">
        <v>1517</v>
      </c>
      <c r="M461" s="273" t="s">
        <v>501</v>
      </c>
    </row>
    <row r="462" spans="2:13" x14ac:dyDescent="0.25">
      <c r="B462" s="273" t="s">
        <v>1520</v>
      </c>
      <c r="C462" s="273" t="s">
        <v>1009</v>
      </c>
      <c r="D462" s="273" t="s">
        <v>1467</v>
      </c>
      <c r="E462" s="273" t="s">
        <v>1521</v>
      </c>
      <c r="F462" s="277" t="s">
        <v>1522</v>
      </c>
      <c r="G462" s="278" t="s">
        <v>559</v>
      </c>
      <c r="H462" s="278">
        <f t="shared" si="13"/>
        <v>60</v>
      </c>
      <c r="I462" s="273">
        <v>1</v>
      </c>
      <c r="J462" s="273">
        <v>35</v>
      </c>
      <c r="K462" s="273">
        <v>39</v>
      </c>
      <c r="L462" s="273" t="s">
        <v>1520</v>
      </c>
      <c r="M462" s="273" t="s">
        <v>501</v>
      </c>
    </row>
    <row r="463" spans="2:13" x14ac:dyDescent="0.25">
      <c r="B463" s="273" t="s">
        <v>1523</v>
      </c>
      <c r="C463" s="273" t="s">
        <v>1009</v>
      </c>
      <c r="D463" s="273" t="s">
        <v>1467</v>
      </c>
      <c r="E463" s="273" t="s">
        <v>1521</v>
      </c>
      <c r="F463" s="277" t="s">
        <v>1524</v>
      </c>
      <c r="G463" s="278" t="s">
        <v>559</v>
      </c>
      <c r="H463" s="278">
        <f t="shared" ref="H463:H526" si="14">MID(B463,2,1)*12</f>
        <v>60</v>
      </c>
      <c r="I463" s="273">
        <v>2</v>
      </c>
      <c r="J463" s="273">
        <v>35</v>
      </c>
      <c r="K463" s="273">
        <v>76</v>
      </c>
      <c r="L463" s="273" t="s">
        <v>1523</v>
      </c>
      <c r="M463" s="273" t="s">
        <v>501</v>
      </c>
    </row>
    <row r="464" spans="2:13" x14ac:dyDescent="0.25">
      <c r="B464" s="273" t="s">
        <v>1525</v>
      </c>
      <c r="C464" s="273" t="s">
        <v>1009</v>
      </c>
      <c r="D464" s="273" t="s">
        <v>1526</v>
      </c>
      <c r="E464" s="273" t="s">
        <v>1527</v>
      </c>
      <c r="F464" s="277" t="s">
        <v>1528</v>
      </c>
      <c r="G464" s="278" t="s">
        <v>633</v>
      </c>
      <c r="H464" s="278">
        <f t="shared" si="14"/>
        <v>12</v>
      </c>
      <c r="I464" s="273">
        <v>1</v>
      </c>
      <c r="J464" s="273">
        <v>15</v>
      </c>
      <c r="K464" s="273">
        <v>19</v>
      </c>
      <c r="L464" s="280" t="s">
        <v>1008</v>
      </c>
      <c r="M464" s="273" t="s">
        <v>501</v>
      </c>
    </row>
    <row r="465" spans="2:13" x14ac:dyDescent="0.25">
      <c r="B465" s="273" t="s">
        <v>1529</v>
      </c>
      <c r="C465" s="273" t="s">
        <v>1009</v>
      </c>
      <c r="D465" s="273" t="s">
        <v>1526</v>
      </c>
      <c r="E465" s="273" t="s">
        <v>1527</v>
      </c>
      <c r="F465" s="277" t="s">
        <v>1530</v>
      </c>
      <c r="G465" s="278" t="s">
        <v>633</v>
      </c>
      <c r="H465" s="278">
        <f t="shared" si="14"/>
        <v>12</v>
      </c>
      <c r="I465" s="273">
        <v>2</v>
      </c>
      <c r="J465" s="273">
        <v>15</v>
      </c>
      <c r="K465" s="273">
        <v>36</v>
      </c>
      <c r="L465" s="280" t="s">
        <v>1013</v>
      </c>
      <c r="M465" s="273" t="s">
        <v>501</v>
      </c>
    </row>
    <row r="466" spans="2:13" x14ac:dyDescent="0.25">
      <c r="B466" s="273" t="s">
        <v>1531</v>
      </c>
      <c r="C466" s="273" t="s">
        <v>1009</v>
      </c>
      <c r="D466" s="273" t="s">
        <v>1526</v>
      </c>
      <c r="E466" s="273" t="s">
        <v>1532</v>
      </c>
      <c r="F466" s="277" t="s">
        <v>1533</v>
      </c>
      <c r="G466" s="278" t="s">
        <v>633</v>
      </c>
      <c r="H466" s="278">
        <f t="shared" si="14"/>
        <v>24</v>
      </c>
      <c r="I466" s="273">
        <v>1</v>
      </c>
      <c r="J466" s="273">
        <v>35</v>
      </c>
      <c r="K466" s="273">
        <v>62</v>
      </c>
      <c r="L466" s="280" t="s">
        <v>1015</v>
      </c>
      <c r="M466" s="273" t="s">
        <v>501</v>
      </c>
    </row>
    <row r="467" spans="2:13" x14ac:dyDescent="0.25">
      <c r="B467" s="273" t="s">
        <v>1534</v>
      </c>
      <c r="C467" s="273" t="s">
        <v>1009</v>
      </c>
      <c r="D467" s="273" t="s">
        <v>1526</v>
      </c>
      <c r="E467" s="273" t="s">
        <v>1535</v>
      </c>
      <c r="F467" s="277" t="s">
        <v>1536</v>
      </c>
      <c r="G467" s="278" t="s">
        <v>1044</v>
      </c>
      <c r="H467" s="278">
        <f t="shared" si="14"/>
        <v>24</v>
      </c>
      <c r="I467" s="273">
        <v>1</v>
      </c>
      <c r="J467" s="273">
        <v>20</v>
      </c>
      <c r="K467" s="273">
        <v>26</v>
      </c>
      <c r="L467" s="280" t="s">
        <v>1015</v>
      </c>
      <c r="M467" s="273" t="s">
        <v>501</v>
      </c>
    </row>
    <row r="468" spans="2:13" x14ac:dyDescent="0.25">
      <c r="B468" s="273" t="s">
        <v>1537</v>
      </c>
      <c r="C468" s="273" t="s">
        <v>1009</v>
      </c>
      <c r="D468" s="273" t="s">
        <v>1526</v>
      </c>
      <c r="E468" s="273" t="s">
        <v>1535</v>
      </c>
      <c r="F468" s="277" t="s">
        <v>1536</v>
      </c>
      <c r="G468" s="278" t="s">
        <v>633</v>
      </c>
      <c r="H468" s="278">
        <f t="shared" si="14"/>
        <v>24</v>
      </c>
      <c r="I468" s="273">
        <v>1</v>
      </c>
      <c r="J468" s="273">
        <v>20</v>
      </c>
      <c r="K468" s="273">
        <v>28</v>
      </c>
      <c r="L468" s="280" t="s">
        <v>1015</v>
      </c>
      <c r="M468" s="273" t="s">
        <v>501</v>
      </c>
    </row>
    <row r="469" spans="2:13" x14ac:dyDescent="0.25">
      <c r="B469" s="273" t="s">
        <v>1538</v>
      </c>
      <c r="C469" s="273" t="s">
        <v>1009</v>
      </c>
      <c r="D469" s="273" t="s">
        <v>1526</v>
      </c>
      <c r="E469" s="273" t="s">
        <v>1532</v>
      </c>
      <c r="F469" s="277" t="s">
        <v>1539</v>
      </c>
      <c r="G469" s="278" t="s">
        <v>633</v>
      </c>
      <c r="H469" s="278">
        <f t="shared" si="14"/>
        <v>24</v>
      </c>
      <c r="I469" s="273">
        <v>2</v>
      </c>
      <c r="J469" s="273">
        <v>35</v>
      </c>
      <c r="K469" s="273">
        <v>90</v>
      </c>
      <c r="L469" s="280" t="s">
        <v>1045</v>
      </c>
      <c r="M469" s="273" t="s">
        <v>501</v>
      </c>
    </row>
    <row r="470" spans="2:13" x14ac:dyDescent="0.25">
      <c r="B470" s="273" t="s">
        <v>1540</v>
      </c>
      <c r="C470" s="273" t="s">
        <v>1009</v>
      </c>
      <c r="D470" s="273" t="s">
        <v>1526</v>
      </c>
      <c r="E470" s="273" t="s">
        <v>1535</v>
      </c>
      <c r="F470" s="277" t="s">
        <v>1541</v>
      </c>
      <c r="G470" s="278" t="s">
        <v>1044</v>
      </c>
      <c r="H470" s="278">
        <f t="shared" si="14"/>
        <v>24</v>
      </c>
      <c r="I470" s="273">
        <v>2</v>
      </c>
      <c r="J470" s="273">
        <v>20</v>
      </c>
      <c r="K470" s="273">
        <v>51</v>
      </c>
      <c r="L470" s="280" t="s">
        <v>1045</v>
      </c>
      <c r="M470" s="273" t="s">
        <v>501</v>
      </c>
    </row>
    <row r="471" spans="2:13" x14ac:dyDescent="0.25">
      <c r="B471" s="273" t="s">
        <v>1542</v>
      </c>
      <c r="C471" s="273" t="s">
        <v>1009</v>
      </c>
      <c r="D471" s="273" t="s">
        <v>1526</v>
      </c>
      <c r="E471" s="273" t="s">
        <v>1535</v>
      </c>
      <c r="F471" s="277" t="s">
        <v>1541</v>
      </c>
      <c r="G471" s="278" t="s">
        <v>633</v>
      </c>
      <c r="H471" s="278">
        <f t="shared" si="14"/>
        <v>24</v>
      </c>
      <c r="I471" s="273">
        <v>2</v>
      </c>
      <c r="J471" s="273">
        <v>20</v>
      </c>
      <c r="K471" s="273">
        <v>56</v>
      </c>
      <c r="L471" s="280" t="s">
        <v>1045</v>
      </c>
      <c r="M471" s="273" t="s">
        <v>501</v>
      </c>
    </row>
    <row r="472" spans="2:13" x14ac:dyDescent="0.25">
      <c r="B472" s="273" t="s">
        <v>1543</v>
      </c>
      <c r="C472" s="273" t="s">
        <v>1009</v>
      </c>
      <c r="D472" s="273" t="s">
        <v>1526</v>
      </c>
      <c r="E472" s="273" t="s">
        <v>1535</v>
      </c>
      <c r="F472" s="277" t="s">
        <v>1544</v>
      </c>
      <c r="G472" s="278" t="s">
        <v>1044</v>
      </c>
      <c r="H472" s="278">
        <f t="shared" si="14"/>
        <v>24</v>
      </c>
      <c r="I472" s="273">
        <v>3</v>
      </c>
      <c r="J472" s="273">
        <v>20</v>
      </c>
      <c r="K472" s="273">
        <v>77</v>
      </c>
      <c r="L472" s="280" t="s">
        <v>1059</v>
      </c>
      <c r="M472" s="273" t="s">
        <v>501</v>
      </c>
    </row>
    <row r="473" spans="2:13" x14ac:dyDescent="0.25">
      <c r="B473" s="273" t="s">
        <v>1545</v>
      </c>
      <c r="C473" s="273" t="s">
        <v>1009</v>
      </c>
      <c r="D473" s="273" t="s">
        <v>1526</v>
      </c>
      <c r="E473" s="273" t="s">
        <v>1535</v>
      </c>
      <c r="F473" s="277" t="s">
        <v>1544</v>
      </c>
      <c r="G473" s="278" t="s">
        <v>633</v>
      </c>
      <c r="H473" s="278">
        <f t="shared" si="14"/>
        <v>24</v>
      </c>
      <c r="I473" s="273">
        <v>3</v>
      </c>
      <c r="J473" s="273">
        <v>20</v>
      </c>
      <c r="K473" s="273">
        <v>84</v>
      </c>
      <c r="L473" s="280" t="s">
        <v>1059</v>
      </c>
      <c r="M473" s="273" t="s">
        <v>501</v>
      </c>
    </row>
    <row r="474" spans="2:13" x14ac:dyDescent="0.25">
      <c r="B474" s="273" t="s">
        <v>1546</v>
      </c>
      <c r="C474" s="273" t="s">
        <v>1009</v>
      </c>
      <c r="D474" s="273" t="s">
        <v>1526</v>
      </c>
      <c r="E474" s="273" t="s">
        <v>1535</v>
      </c>
      <c r="F474" s="277" t="s">
        <v>1547</v>
      </c>
      <c r="G474" s="278" t="s">
        <v>1044</v>
      </c>
      <c r="H474" s="278">
        <f t="shared" si="14"/>
        <v>24</v>
      </c>
      <c r="I474" s="273">
        <v>4</v>
      </c>
      <c r="J474" s="273">
        <v>20</v>
      </c>
      <c r="K474" s="273">
        <v>102</v>
      </c>
      <c r="L474" s="280" t="s">
        <v>1069</v>
      </c>
      <c r="M474" s="273" t="s">
        <v>501</v>
      </c>
    </row>
    <row r="475" spans="2:13" x14ac:dyDescent="0.25">
      <c r="B475" s="273" t="s">
        <v>1548</v>
      </c>
      <c r="C475" s="273" t="s">
        <v>1009</v>
      </c>
      <c r="D475" s="273" t="s">
        <v>1526</v>
      </c>
      <c r="E475" s="273" t="s">
        <v>1535</v>
      </c>
      <c r="F475" s="277" t="s">
        <v>1547</v>
      </c>
      <c r="G475" s="278" t="s">
        <v>633</v>
      </c>
      <c r="H475" s="278">
        <f t="shared" si="14"/>
        <v>24</v>
      </c>
      <c r="I475" s="273">
        <v>4</v>
      </c>
      <c r="J475" s="273">
        <v>20</v>
      </c>
      <c r="K475" s="273">
        <v>112</v>
      </c>
      <c r="L475" s="280" t="s">
        <v>1069</v>
      </c>
      <c r="M475" s="273" t="s">
        <v>501</v>
      </c>
    </row>
    <row r="476" spans="2:13" x14ac:dyDescent="0.25">
      <c r="B476" s="273" t="s">
        <v>1549</v>
      </c>
      <c r="C476" s="273" t="s">
        <v>1009</v>
      </c>
      <c r="D476" s="273" t="s">
        <v>1526</v>
      </c>
      <c r="E476" s="273" t="s">
        <v>1535</v>
      </c>
      <c r="F476" s="277" t="s">
        <v>1550</v>
      </c>
      <c r="G476" s="278" t="s">
        <v>1044</v>
      </c>
      <c r="H476" s="278">
        <f t="shared" si="14"/>
        <v>24</v>
      </c>
      <c r="I476" s="273">
        <v>6</v>
      </c>
      <c r="J476" s="273">
        <v>20</v>
      </c>
      <c r="K476" s="273">
        <v>153</v>
      </c>
      <c r="L476" s="280" t="s">
        <v>2928</v>
      </c>
      <c r="M476" s="273" t="s">
        <v>501</v>
      </c>
    </row>
    <row r="477" spans="2:13" x14ac:dyDescent="0.25">
      <c r="B477" s="273" t="s">
        <v>1551</v>
      </c>
      <c r="C477" s="273" t="s">
        <v>1009</v>
      </c>
      <c r="D477" s="273" t="s">
        <v>1526</v>
      </c>
      <c r="E477" s="273" t="s">
        <v>1535</v>
      </c>
      <c r="F477" s="277" t="s">
        <v>1550</v>
      </c>
      <c r="G477" s="278" t="s">
        <v>633</v>
      </c>
      <c r="H477" s="278">
        <f t="shared" si="14"/>
        <v>24</v>
      </c>
      <c r="I477" s="273">
        <v>6</v>
      </c>
      <c r="J477" s="273">
        <v>20</v>
      </c>
      <c r="K477" s="273">
        <v>168</v>
      </c>
      <c r="L477" s="280" t="s">
        <v>2928</v>
      </c>
      <c r="M477" s="273" t="s">
        <v>501</v>
      </c>
    </row>
    <row r="478" spans="2:13" x14ac:dyDescent="0.25">
      <c r="B478" s="273" t="s">
        <v>1552</v>
      </c>
      <c r="C478" s="273" t="s">
        <v>1009</v>
      </c>
      <c r="D478" s="273" t="s">
        <v>1526</v>
      </c>
      <c r="E478" s="273" t="s">
        <v>1553</v>
      </c>
      <c r="F478" s="277" t="s">
        <v>1554</v>
      </c>
      <c r="G478" s="278" t="s">
        <v>1044</v>
      </c>
      <c r="H478" s="278">
        <f t="shared" si="14"/>
        <v>36</v>
      </c>
      <c r="I478" s="273">
        <v>1</v>
      </c>
      <c r="J478" s="273">
        <v>25</v>
      </c>
      <c r="K478" s="273">
        <v>38</v>
      </c>
      <c r="L478" s="280" t="s">
        <v>1077</v>
      </c>
      <c r="M478" s="273" t="s">
        <v>501</v>
      </c>
    </row>
    <row r="479" spans="2:13" x14ac:dyDescent="0.25">
      <c r="B479" s="273" t="s">
        <v>1555</v>
      </c>
      <c r="C479" s="273" t="s">
        <v>1009</v>
      </c>
      <c r="D479" s="273" t="s">
        <v>1526</v>
      </c>
      <c r="E479" s="273" t="s">
        <v>1553</v>
      </c>
      <c r="F479" s="277" t="s">
        <v>1556</v>
      </c>
      <c r="G479" s="278" t="s">
        <v>1044</v>
      </c>
      <c r="H479" s="278">
        <f t="shared" si="14"/>
        <v>36</v>
      </c>
      <c r="I479" s="273">
        <v>1</v>
      </c>
      <c r="J479" s="273">
        <v>25</v>
      </c>
      <c r="K479" s="273">
        <v>33</v>
      </c>
      <c r="L479" s="280" t="s">
        <v>1077</v>
      </c>
      <c r="M479" s="273" t="s">
        <v>501</v>
      </c>
    </row>
    <row r="480" spans="2:13" x14ac:dyDescent="0.25">
      <c r="B480" s="273" t="s">
        <v>1557</v>
      </c>
      <c r="C480" s="273" t="s">
        <v>1009</v>
      </c>
      <c r="D480" s="273" t="s">
        <v>1526</v>
      </c>
      <c r="E480" s="273" t="s">
        <v>1553</v>
      </c>
      <c r="F480" s="277" t="s">
        <v>1558</v>
      </c>
      <c r="G480" s="278" t="s">
        <v>559</v>
      </c>
      <c r="H480" s="278">
        <f t="shared" si="14"/>
        <v>36</v>
      </c>
      <c r="I480" s="273">
        <v>1</v>
      </c>
      <c r="J480" s="273">
        <v>25</v>
      </c>
      <c r="K480" s="273">
        <v>26</v>
      </c>
      <c r="L480" s="280" t="s">
        <v>1077</v>
      </c>
      <c r="M480" s="273" t="s">
        <v>501</v>
      </c>
    </row>
    <row r="481" spans="2:13" x14ac:dyDescent="0.25">
      <c r="B481" s="273" t="s">
        <v>1559</v>
      </c>
      <c r="C481" s="273" t="s">
        <v>1009</v>
      </c>
      <c r="D481" s="273" t="s">
        <v>1526</v>
      </c>
      <c r="E481" s="273" t="s">
        <v>1553</v>
      </c>
      <c r="F481" s="277" t="s">
        <v>1558</v>
      </c>
      <c r="G481" s="278" t="s">
        <v>633</v>
      </c>
      <c r="H481" s="278">
        <f t="shared" si="14"/>
        <v>36</v>
      </c>
      <c r="I481" s="273">
        <v>1</v>
      </c>
      <c r="J481" s="273">
        <v>25</v>
      </c>
      <c r="K481" s="273">
        <v>42</v>
      </c>
      <c r="L481" s="280" t="s">
        <v>1077</v>
      </c>
      <c r="M481" s="273" t="s">
        <v>501</v>
      </c>
    </row>
    <row r="482" spans="2:13" x14ac:dyDescent="0.25">
      <c r="B482" s="273" t="s">
        <v>1560</v>
      </c>
      <c r="C482" s="273" t="s">
        <v>1009</v>
      </c>
      <c r="D482" s="273" t="s">
        <v>1526</v>
      </c>
      <c r="E482" s="273" t="s">
        <v>1553</v>
      </c>
      <c r="F482" s="277" t="s">
        <v>1561</v>
      </c>
      <c r="G482" s="278" t="s">
        <v>633</v>
      </c>
      <c r="H482" s="278">
        <f t="shared" si="14"/>
        <v>36</v>
      </c>
      <c r="I482" s="273">
        <v>1</v>
      </c>
      <c r="J482" s="273">
        <v>25</v>
      </c>
      <c r="K482" s="273">
        <v>37</v>
      </c>
      <c r="L482" s="280" t="s">
        <v>1077</v>
      </c>
      <c r="M482" s="273" t="s">
        <v>501</v>
      </c>
    </row>
    <row r="483" spans="2:13" x14ac:dyDescent="0.25">
      <c r="B483" s="273" t="s">
        <v>1562</v>
      </c>
      <c r="C483" s="273" t="s">
        <v>1009</v>
      </c>
      <c r="D483" s="273" t="s">
        <v>1526</v>
      </c>
      <c r="E483" s="273" t="s">
        <v>1563</v>
      </c>
      <c r="F483" s="277" t="s">
        <v>1564</v>
      </c>
      <c r="G483" s="278" t="s">
        <v>1044</v>
      </c>
      <c r="H483" s="278">
        <f t="shared" si="14"/>
        <v>36</v>
      </c>
      <c r="I483" s="273">
        <v>1</v>
      </c>
      <c r="J483" s="273">
        <v>30</v>
      </c>
      <c r="K483" s="273">
        <v>37</v>
      </c>
      <c r="L483" s="280" t="s">
        <v>1077</v>
      </c>
      <c r="M483" s="273" t="s">
        <v>501</v>
      </c>
    </row>
    <row r="484" spans="2:13" x14ac:dyDescent="0.25">
      <c r="B484" s="273" t="s">
        <v>1565</v>
      </c>
      <c r="C484" s="273" t="s">
        <v>1009</v>
      </c>
      <c r="D484" s="273" t="s">
        <v>1526</v>
      </c>
      <c r="E484" s="273" t="s">
        <v>1486</v>
      </c>
      <c r="F484" s="277" t="s">
        <v>1566</v>
      </c>
      <c r="G484" s="278" t="s">
        <v>633</v>
      </c>
      <c r="H484" s="278">
        <f t="shared" si="14"/>
        <v>36</v>
      </c>
      <c r="I484" s="273">
        <v>1</v>
      </c>
      <c r="J484" s="273">
        <v>50</v>
      </c>
      <c r="K484" s="273">
        <v>70</v>
      </c>
      <c r="L484" s="280" t="s">
        <v>1077</v>
      </c>
      <c r="M484" s="273" t="s">
        <v>501</v>
      </c>
    </row>
    <row r="485" spans="2:13" x14ac:dyDescent="0.25">
      <c r="B485" s="273" t="s">
        <v>1567</v>
      </c>
      <c r="C485" s="273" t="s">
        <v>1009</v>
      </c>
      <c r="D485" s="273" t="s">
        <v>1526</v>
      </c>
      <c r="E485" s="273" t="s">
        <v>1563</v>
      </c>
      <c r="F485" s="277" t="s">
        <v>1568</v>
      </c>
      <c r="G485" s="278" t="s">
        <v>559</v>
      </c>
      <c r="H485" s="278">
        <f t="shared" si="14"/>
        <v>36</v>
      </c>
      <c r="I485" s="273">
        <v>1</v>
      </c>
      <c r="J485" s="273">
        <v>30</v>
      </c>
      <c r="K485" s="273">
        <v>31</v>
      </c>
      <c r="L485" s="280" t="s">
        <v>1077</v>
      </c>
      <c r="M485" s="273" t="s">
        <v>501</v>
      </c>
    </row>
    <row r="486" spans="2:13" x14ac:dyDescent="0.25">
      <c r="B486" s="273" t="s">
        <v>1569</v>
      </c>
      <c r="C486" s="273" t="s">
        <v>1009</v>
      </c>
      <c r="D486" s="273" t="s">
        <v>1526</v>
      </c>
      <c r="E486" s="273" t="s">
        <v>1563</v>
      </c>
      <c r="F486" s="277" t="s">
        <v>1568</v>
      </c>
      <c r="G486" s="278" t="s">
        <v>633</v>
      </c>
      <c r="H486" s="278">
        <f t="shared" si="14"/>
        <v>36</v>
      </c>
      <c r="I486" s="273">
        <v>1</v>
      </c>
      <c r="J486" s="273">
        <v>30</v>
      </c>
      <c r="K486" s="273">
        <v>46</v>
      </c>
      <c r="L486" s="280" t="s">
        <v>1077</v>
      </c>
      <c r="M486" s="273" t="s">
        <v>501</v>
      </c>
    </row>
    <row r="487" spans="2:13" x14ac:dyDescent="0.25">
      <c r="B487" s="273" t="s">
        <v>1570</v>
      </c>
      <c r="C487" s="273" t="s">
        <v>1009</v>
      </c>
      <c r="D487" s="273" t="s">
        <v>1526</v>
      </c>
      <c r="E487" s="273" t="s">
        <v>1563</v>
      </c>
      <c r="F487" s="277" t="s">
        <v>1571</v>
      </c>
      <c r="G487" s="278" t="s">
        <v>633</v>
      </c>
      <c r="H487" s="278">
        <f t="shared" si="14"/>
        <v>36</v>
      </c>
      <c r="I487" s="273">
        <v>1</v>
      </c>
      <c r="J487" s="273">
        <v>30</v>
      </c>
      <c r="K487" s="273">
        <v>41</v>
      </c>
      <c r="L487" s="280" t="s">
        <v>1077</v>
      </c>
      <c r="M487" s="273" t="s">
        <v>501</v>
      </c>
    </row>
    <row r="488" spans="2:13" x14ac:dyDescent="0.25">
      <c r="B488" s="273" t="s">
        <v>1572</v>
      </c>
      <c r="C488" s="273" t="s">
        <v>1009</v>
      </c>
      <c r="D488" s="273" t="s">
        <v>1526</v>
      </c>
      <c r="E488" s="273" t="s">
        <v>1553</v>
      </c>
      <c r="F488" s="277" t="s">
        <v>1573</v>
      </c>
      <c r="G488" s="278" t="s">
        <v>1044</v>
      </c>
      <c r="H488" s="278">
        <f t="shared" si="14"/>
        <v>36</v>
      </c>
      <c r="I488" s="273">
        <v>2</v>
      </c>
      <c r="J488" s="273">
        <v>25</v>
      </c>
      <c r="K488" s="273">
        <v>66</v>
      </c>
      <c r="L488" s="280" t="s">
        <v>1110</v>
      </c>
      <c r="M488" s="273" t="s">
        <v>501</v>
      </c>
    </row>
    <row r="489" spans="2:13" x14ac:dyDescent="0.25">
      <c r="B489" s="273" t="s">
        <v>1574</v>
      </c>
      <c r="C489" s="273" t="s">
        <v>1009</v>
      </c>
      <c r="D489" s="273" t="s">
        <v>1526</v>
      </c>
      <c r="E489" s="273" t="s">
        <v>1553</v>
      </c>
      <c r="F489" s="277" t="s">
        <v>1573</v>
      </c>
      <c r="G489" s="278" t="s">
        <v>559</v>
      </c>
      <c r="H489" s="278">
        <f t="shared" si="14"/>
        <v>36</v>
      </c>
      <c r="I489" s="273">
        <v>2</v>
      </c>
      <c r="J489" s="273">
        <v>25</v>
      </c>
      <c r="K489" s="273">
        <v>50</v>
      </c>
      <c r="L489" s="280" t="s">
        <v>1110</v>
      </c>
      <c r="M489" s="273" t="s">
        <v>501</v>
      </c>
    </row>
    <row r="490" spans="2:13" x14ac:dyDescent="0.25">
      <c r="B490" s="273" t="s">
        <v>1575</v>
      </c>
      <c r="C490" s="273" t="s">
        <v>1009</v>
      </c>
      <c r="D490" s="273" t="s">
        <v>1526</v>
      </c>
      <c r="E490" s="273" t="s">
        <v>1553</v>
      </c>
      <c r="F490" s="277" t="s">
        <v>1573</v>
      </c>
      <c r="G490" s="278" t="s">
        <v>633</v>
      </c>
      <c r="H490" s="278">
        <f t="shared" si="14"/>
        <v>36</v>
      </c>
      <c r="I490" s="273">
        <v>2</v>
      </c>
      <c r="J490" s="273">
        <v>25</v>
      </c>
      <c r="K490" s="273">
        <v>73</v>
      </c>
      <c r="L490" s="280" t="s">
        <v>1110</v>
      </c>
      <c r="M490" s="273" t="s">
        <v>501</v>
      </c>
    </row>
    <row r="491" spans="2:13" x14ac:dyDescent="0.25">
      <c r="B491" s="273" t="s">
        <v>1576</v>
      </c>
      <c r="C491" s="273" t="s">
        <v>1009</v>
      </c>
      <c r="D491" s="273" t="s">
        <v>1526</v>
      </c>
      <c r="E491" s="273" t="s">
        <v>1563</v>
      </c>
      <c r="F491" s="277" t="s">
        <v>1577</v>
      </c>
      <c r="G491" s="278" t="s">
        <v>1044</v>
      </c>
      <c r="H491" s="278">
        <f t="shared" si="14"/>
        <v>36</v>
      </c>
      <c r="I491" s="273">
        <v>2</v>
      </c>
      <c r="J491" s="273">
        <v>30</v>
      </c>
      <c r="K491" s="273">
        <v>74</v>
      </c>
      <c r="L491" s="280" t="s">
        <v>1110</v>
      </c>
      <c r="M491" s="273" t="s">
        <v>501</v>
      </c>
    </row>
    <row r="492" spans="2:13" x14ac:dyDescent="0.25">
      <c r="B492" s="273" t="s">
        <v>1578</v>
      </c>
      <c r="C492" s="273" t="s">
        <v>1009</v>
      </c>
      <c r="D492" s="273" t="s">
        <v>1526</v>
      </c>
      <c r="E492" s="273" t="s">
        <v>1563</v>
      </c>
      <c r="F492" s="277" t="s">
        <v>1577</v>
      </c>
      <c r="G492" s="278" t="s">
        <v>559</v>
      </c>
      <c r="H492" s="278">
        <f t="shared" si="14"/>
        <v>36</v>
      </c>
      <c r="I492" s="273">
        <v>2</v>
      </c>
      <c r="J492" s="273">
        <v>30</v>
      </c>
      <c r="K492" s="273">
        <v>58</v>
      </c>
      <c r="L492" s="280" t="s">
        <v>1110</v>
      </c>
      <c r="M492" s="273" t="s">
        <v>501</v>
      </c>
    </row>
    <row r="493" spans="2:13" x14ac:dyDescent="0.25">
      <c r="B493" s="273" t="s">
        <v>1579</v>
      </c>
      <c r="C493" s="273" t="s">
        <v>1009</v>
      </c>
      <c r="D493" s="273" t="s">
        <v>1526</v>
      </c>
      <c r="E493" s="273" t="s">
        <v>1563</v>
      </c>
      <c r="F493" s="277" t="s">
        <v>1577</v>
      </c>
      <c r="G493" s="278" t="s">
        <v>633</v>
      </c>
      <c r="H493" s="278">
        <f t="shared" si="14"/>
        <v>36</v>
      </c>
      <c r="I493" s="273">
        <v>2</v>
      </c>
      <c r="J493" s="273">
        <v>30</v>
      </c>
      <c r="K493" s="273">
        <v>81</v>
      </c>
      <c r="L493" s="280" t="s">
        <v>1110</v>
      </c>
      <c r="M493" s="273" t="s">
        <v>501</v>
      </c>
    </row>
    <row r="494" spans="2:13" x14ac:dyDescent="0.25">
      <c r="B494" s="273" t="s">
        <v>1580</v>
      </c>
      <c r="C494" s="273" t="s">
        <v>1009</v>
      </c>
      <c r="D494" s="273" t="s">
        <v>1526</v>
      </c>
      <c r="E494" s="273" t="s">
        <v>1553</v>
      </c>
      <c r="F494" s="277" t="s">
        <v>1581</v>
      </c>
      <c r="G494" s="278" t="s">
        <v>1044</v>
      </c>
      <c r="H494" s="278">
        <f t="shared" si="14"/>
        <v>36</v>
      </c>
      <c r="I494" s="273">
        <v>3</v>
      </c>
      <c r="J494" s="273">
        <v>25</v>
      </c>
      <c r="K494" s="273">
        <v>104</v>
      </c>
      <c r="L494" s="280" t="s">
        <v>1132</v>
      </c>
      <c r="M494" s="273" t="s">
        <v>501</v>
      </c>
    </row>
    <row r="495" spans="2:13" x14ac:dyDescent="0.25">
      <c r="B495" s="273" t="s">
        <v>1582</v>
      </c>
      <c r="C495" s="273" t="s">
        <v>1009</v>
      </c>
      <c r="D495" s="273" t="s">
        <v>1526</v>
      </c>
      <c r="E495" s="273" t="s">
        <v>1553</v>
      </c>
      <c r="F495" s="277" t="s">
        <v>1581</v>
      </c>
      <c r="G495" s="278" t="s">
        <v>559</v>
      </c>
      <c r="H495" s="278">
        <f t="shared" si="14"/>
        <v>36</v>
      </c>
      <c r="I495" s="273">
        <v>3</v>
      </c>
      <c r="J495" s="273">
        <v>25</v>
      </c>
      <c r="K495" s="273">
        <v>76</v>
      </c>
      <c r="L495" s="280" t="s">
        <v>1132</v>
      </c>
      <c r="M495" s="273" t="s">
        <v>501</v>
      </c>
    </row>
    <row r="496" spans="2:13" x14ac:dyDescent="0.25">
      <c r="B496" s="273" t="s">
        <v>1583</v>
      </c>
      <c r="C496" s="273" t="s">
        <v>1009</v>
      </c>
      <c r="D496" s="273" t="s">
        <v>1526</v>
      </c>
      <c r="E496" s="273" t="s">
        <v>1553</v>
      </c>
      <c r="F496" s="277" t="s">
        <v>1584</v>
      </c>
      <c r="G496" s="278" t="s">
        <v>633</v>
      </c>
      <c r="H496" s="278">
        <f t="shared" si="14"/>
        <v>36</v>
      </c>
      <c r="I496" s="273">
        <v>3</v>
      </c>
      <c r="J496" s="273">
        <v>25</v>
      </c>
      <c r="K496" s="273">
        <v>115</v>
      </c>
      <c r="L496" s="280" t="s">
        <v>1132</v>
      </c>
      <c r="M496" s="273" t="s">
        <v>501</v>
      </c>
    </row>
    <row r="497" spans="2:13" x14ac:dyDescent="0.25">
      <c r="B497" s="273" t="s">
        <v>1585</v>
      </c>
      <c r="C497" s="273" t="s">
        <v>1009</v>
      </c>
      <c r="D497" s="273" t="s">
        <v>1526</v>
      </c>
      <c r="E497" s="273" t="s">
        <v>1563</v>
      </c>
      <c r="F497" s="277" t="s">
        <v>1586</v>
      </c>
      <c r="G497" s="278" t="s">
        <v>1044</v>
      </c>
      <c r="H497" s="278">
        <f t="shared" si="14"/>
        <v>36</v>
      </c>
      <c r="I497" s="273">
        <v>3</v>
      </c>
      <c r="J497" s="273">
        <v>30</v>
      </c>
      <c r="K497" s="273">
        <v>120</v>
      </c>
      <c r="L497" s="280" t="s">
        <v>1132</v>
      </c>
      <c r="M497" s="273" t="s">
        <v>501</v>
      </c>
    </row>
    <row r="498" spans="2:13" x14ac:dyDescent="0.25">
      <c r="B498" s="273" t="s">
        <v>1587</v>
      </c>
      <c r="C498" s="273" t="s">
        <v>1009</v>
      </c>
      <c r="D498" s="273" t="s">
        <v>1526</v>
      </c>
      <c r="E498" s="273" t="s">
        <v>1563</v>
      </c>
      <c r="F498" s="277" t="s">
        <v>1588</v>
      </c>
      <c r="G498" s="278" t="s">
        <v>633</v>
      </c>
      <c r="H498" s="278">
        <f t="shared" si="14"/>
        <v>36</v>
      </c>
      <c r="I498" s="273">
        <v>3</v>
      </c>
      <c r="J498" s="273">
        <v>30</v>
      </c>
      <c r="K498" s="273">
        <v>127</v>
      </c>
      <c r="L498" s="280" t="s">
        <v>1132</v>
      </c>
      <c r="M498" s="273" t="s">
        <v>501</v>
      </c>
    </row>
    <row r="499" spans="2:13" x14ac:dyDescent="0.25">
      <c r="B499" s="273" t="s">
        <v>1589</v>
      </c>
      <c r="C499" s="273" t="s">
        <v>1009</v>
      </c>
      <c r="D499" s="273" t="s">
        <v>1526</v>
      </c>
      <c r="E499" s="273" t="s">
        <v>1553</v>
      </c>
      <c r="F499" s="277" t="s">
        <v>1590</v>
      </c>
      <c r="G499" s="278" t="s">
        <v>1044</v>
      </c>
      <c r="H499" s="278">
        <f t="shared" si="14"/>
        <v>36</v>
      </c>
      <c r="I499" s="273">
        <v>4</v>
      </c>
      <c r="J499" s="273">
        <v>25</v>
      </c>
      <c r="K499" s="273">
        <v>132</v>
      </c>
      <c r="L499" s="280" t="s">
        <v>1140</v>
      </c>
      <c r="M499" s="273" t="s">
        <v>501</v>
      </c>
    </row>
    <row r="500" spans="2:13" x14ac:dyDescent="0.25">
      <c r="B500" s="273" t="s">
        <v>1591</v>
      </c>
      <c r="C500" s="273" t="s">
        <v>1009</v>
      </c>
      <c r="D500" s="273" t="s">
        <v>1526</v>
      </c>
      <c r="E500" s="273" t="s">
        <v>1553</v>
      </c>
      <c r="F500" s="277" t="s">
        <v>1590</v>
      </c>
      <c r="G500" s="278" t="s">
        <v>559</v>
      </c>
      <c r="H500" s="278">
        <f t="shared" si="14"/>
        <v>36</v>
      </c>
      <c r="I500" s="273">
        <v>4</v>
      </c>
      <c r="J500" s="273">
        <v>25</v>
      </c>
      <c r="K500" s="273">
        <v>100</v>
      </c>
      <c r="L500" s="280" t="s">
        <v>1140</v>
      </c>
      <c r="M500" s="273" t="s">
        <v>501</v>
      </c>
    </row>
    <row r="501" spans="2:13" x14ac:dyDescent="0.25">
      <c r="B501" s="273" t="s">
        <v>1592</v>
      </c>
      <c r="C501" s="273" t="s">
        <v>1009</v>
      </c>
      <c r="D501" s="273" t="s">
        <v>1526</v>
      </c>
      <c r="E501" s="273" t="s">
        <v>1563</v>
      </c>
      <c r="F501" s="277" t="s">
        <v>1593</v>
      </c>
      <c r="G501" s="278" t="s">
        <v>1044</v>
      </c>
      <c r="H501" s="278">
        <f t="shared" si="14"/>
        <v>36</v>
      </c>
      <c r="I501" s="273">
        <v>4</v>
      </c>
      <c r="J501" s="273">
        <v>30</v>
      </c>
      <c r="K501" s="273">
        <v>148</v>
      </c>
      <c r="L501" s="280" t="s">
        <v>1140</v>
      </c>
      <c r="M501" s="273" t="s">
        <v>501</v>
      </c>
    </row>
    <row r="502" spans="2:13" x14ac:dyDescent="0.25">
      <c r="B502" s="273" t="s">
        <v>1594</v>
      </c>
      <c r="C502" s="273" t="s">
        <v>1009</v>
      </c>
      <c r="D502" s="273" t="s">
        <v>1526</v>
      </c>
      <c r="E502" s="273" t="s">
        <v>1563</v>
      </c>
      <c r="F502" s="277" t="s">
        <v>1593</v>
      </c>
      <c r="G502" s="278" t="s">
        <v>559</v>
      </c>
      <c r="H502" s="278">
        <f t="shared" si="14"/>
        <v>36</v>
      </c>
      <c r="I502" s="273">
        <v>4</v>
      </c>
      <c r="J502" s="273">
        <v>30</v>
      </c>
      <c r="K502" s="273">
        <v>116</v>
      </c>
      <c r="L502" s="280" t="s">
        <v>1140</v>
      </c>
      <c r="M502" s="273" t="s">
        <v>501</v>
      </c>
    </row>
    <row r="503" spans="2:13" x14ac:dyDescent="0.25">
      <c r="B503" s="273" t="s">
        <v>1595</v>
      </c>
      <c r="C503" s="273" t="s">
        <v>1009</v>
      </c>
      <c r="D503" s="273" t="s">
        <v>1526</v>
      </c>
      <c r="E503" s="273" t="s">
        <v>1563</v>
      </c>
      <c r="F503" s="277" t="s">
        <v>1593</v>
      </c>
      <c r="G503" s="278" t="s">
        <v>633</v>
      </c>
      <c r="H503" s="278">
        <f t="shared" si="14"/>
        <v>36</v>
      </c>
      <c r="I503" s="273">
        <v>4</v>
      </c>
      <c r="J503" s="273">
        <v>30</v>
      </c>
      <c r="K503" s="273">
        <v>162</v>
      </c>
      <c r="L503" s="280" t="s">
        <v>1140</v>
      </c>
      <c r="M503" s="273" t="s">
        <v>501</v>
      </c>
    </row>
    <row r="504" spans="2:13" x14ac:dyDescent="0.25">
      <c r="B504" s="273" t="s">
        <v>1596</v>
      </c>
      <c r="C504" s="273" t="s">
        <v>1009</v>
      </c>
      <c r="D504" s="273" t="s">
        <v>1526</v>
      </c>
      <c r="E504" s="273" t="s">
        <v>1553</v>
      </c>
      <c r="F504" s="277" t="s">
        <v>1597</v>
      </c>
      <c r="G504" s="278" t="s">
        <v>1044</v>
      </c>
      <c r="H504" s="278">
        <f t="shared" si="14"/>
        <v>36</v>
      </c>
      <c r="I504" s="273">
        <v>6</v>
      </c>
      <c r="J504" s="273">
        <v>25</v>
      </c>
      <c r="K504" s="273">
        <v>198</v>
      </c>
      <c r="L504" s="280" t="s">
        <v>2939</v>
      </c>
      <c r="M504" s="273" t="s">
        <v>501</v>
      </c>
    </row>
    <row r="505" spans="2:13" x14ac:dyDescent="0.25">
      <c r="B505" s="273" t="s">
        <v>1598</v>
      </c>
      <c r="C505" s="273" t="s">
        <v>1009</v>
      </c>
      <c r="D505" s="273" t="s">
        <v>1526</v>
      </c>
      <c r="E505" s="273" t="s">
        <v>1563</v>
      </c>
      <c r="F505" s="277" t="s">
        <v>1599</v>
      </c>
      <c r="G505" s="278" t="s">
        <v>1044</v>
      </c>
      <c r="H505" s="278">
        <f t="shared" si="14"/>
        <v>36</v>
      </c>
      <c r="I505" s="273">
        <v>6</v>
      </c>
      <c r="J505" s="273">
        <v>30</v>
      </c>
      <c r="K505" s="273">
        <v>238</v>
      </c>
      <c r="L505" s="280" t="s">
        <v>2939</v>
      </c>
      <c r="M505" s="273" t="s">
        <v>501</v>
      </c>
    </row>
    <row r="506" spans="2:13" x14ac:dyDescent="0.25">
      <c r="B506" s="273" t="s">
        <v>1600</v>
      </c>
      <c r="C506" s="273" t="s">
        <v>1009</v>
      </c>
      <c r="D506" s="273" t="s">
        <v>1526</v>
      </c>
      <c r="E506" s="273" t="s">
        <v>1601</v>
      </c>
      <c r="F506" s="277" t="s">
        <v>1602</v>
      </c>
      <c r="G506" s="278" t="s">
        <v>1044</v>
      </c>
      <c r="H506" s="278">
        <f t="shared" si="14"/>
        <v>48</v>
      </c>
      <c r="I506" s="273">
        <v>1</v>
      </c>
      <c r="J506" s="273">
        <v>34</v>
      </c>
      <c r="K506" s="273">
        <v>43</v>
      </c>
      <c r="L506" s="280" t="s">
        <v>1150</v>
      </c>
      <c r="M506" s="273" t="s">
        <v>501</v>
      </c>
    </row>
    <row r="507" spans="2:13" x14ac:dyDescent="0.25">
      <c r="B507" s="273" t="s">
        <v>1603</v>
      </c>
      <c r="C507" s="273" t="s">
        <v>1009</v>
      </c>
      <c r="D507" s="273" t="s">
        <v>1526</v>
      </c>
      <c r="E507" s="273" t="s">
        <v>1601</v>
      </c>
      <c r="F507" s="277" t="s">
        <v>1604</v>
      </c>
      <c r="G507" s="278" t="s">
        <v>1044</v>
      </c>
      <c r="H507" s="278">
        <f t="shared" si="14"/>
        <v>48</v>
      </c>
      <c r="I507" s="273">
        <v>1</v>
      </c>
      <c r="J507" s="273">
        <v>34</v>
      </c>
      <c r="K507" s="273">
        <v>43</v>
      </c>
      <c r="L507" s="280" t="s">
        <v>1150</v>
      </c>
      <c r="M507" s="273" t="s">
        <v>501</v>
      </c>
    </row>
    <row r="508" spans="2:13" x14ac:dyDescent="0.25">
      <c r="B508" s="273" t="s">
        <v>1605</v>
      </c>
      <c r="C508" s="273" t="s">
        <v>1009</v>
      </c>
      <c r="D508" s="273" t="s">
        <v>1526</v>
      </c>
      <c r="E508" s="273" t="s">
        <v>1601</v>
      </c>
      <c r="F508" s="277" t="s">
        <v>1606</v>
      </c>
      <c r="G508" s="278" t="s">
        <v>1044</v>
      </c>
      <c r="H508" s="278">
        <f t="shared" si="14"/>
        <v>48</v>
      </c>
      <c r="I508" s="273">
        <v>1</v>
      </c>
      <c r="J508" s="273">
        <v>34</v>
      </c>
      <c r="K508" s="273">
        <v>36</v>
      </c>
      <c r="L508" s="280" t="s">
        <v>1150</v>
      </c>
      <c r="M508" s="273" t="s">
        <v>501</v>
      </c>
    </row>
    <row r="509" spans="2:13" x14ac:dyDescent="0.25">
      <c r="B509" s="273" t="s">
        <v>1607</v>
      </c>
      <c r="C509" s="273" t="s">
        <v>1009</v>
      </c>
      <c r="D509" s="273" t="s">
        <v>1526</v>
      </c>
      <c r="E509" s="273" t="s">
        <v>1608</v>
      </c>
      <c r="F509" s="277" t="s">
        <v>1609</v>
      </c>
      <c r="G509" s="278" t="s">
        <v>633</v>
      </c>
      <c r="H509" s="278">
        <f t="shared" si="14"/>
        <v>48</v>
      </c>
      <c r="I509" s="273">
        <v>1</v>
      </c>
      <c r="J509" s="273">
        <v>55</v>
      </c>
      <c r="K509" s="273">
        <v>80</v>
      </c>
      <c r="L509" s="280" t="s">
        <v>1150</v>
      </c>
      <c r="M509" s="273" t="s">
        <v>501</v>
      </c>
    </row>
    <row r="510" spans="2:13" x14ac:dyDescent="0.25">
      <c r="B510" s="273" t="s">
        <v>1610</v>
      </c>
      <c r="C510" s="273" t="s">
        <v>1009</v>
      </c>
      <c r="D510" s="273" t="s">
        <v>1526</v>
      </c>
      <c r="E510" s="273" t="s">
        <v>1611</v>
      </c>
      <c r="F510" s="277" t="s">
        <v>1612</v>
      </c>
      <c r="G510" s="278" t="s">
        <v>633</v>
      </c>
      <c r="H510" s="278">
        <f t="shared" si="14"/>
        <v>48</v>
      </c>
      <c r="I510" s="273">
        <v>1</v>
      </c>
      <c r="J510" s="273">
        <v>30</v>
      </c>
      <c r="K510" s="273">
        <v>51</v>
      </c>
      <c r="L510" s="280" t="s">
        <v>1150</v>
      </c>
      <c r="M510" s="273" t="s">
        <v>501</v>
      </c>
    </row>
    <row r="511" spans="2:13" x14ac:dyDescent="0.25">
      <c r="B511" s="273" t="s">
        <v>1613</v>
      </c>
      <c r="C511" s="273" t="s">
        <v>1009</v>
      </c>
      <c r="D511" s="273" t="s">
        <v>1526</v>
      </c>
      <c r="E511" s="273" t="s">
        <v>1601</v>
      </c>
      <c r="F511" s="277" t="s">
        <v>1614</v>
      </c>
      <c r="G511" s="278" t="s">
        <v>559</v>
      </c>
      <c r="H511" s="278">
        <f t="shared" si="14"/>
        <v>48</v>
      </c>
      <c r="I511" s="273">
        <v>1</v>
      </c>
      <c r="J511" s="273">
        <v>34</v>
      </c>
      <c r="K511" s="273">
        <v>32</v>
      </c>
      <c r="L511" s="280" t="s">
        <v>1150</v>
      </c>
      <c r="M511" s="273" t="s">
        <v>501</v>
      </c>
    </row>
    <row r="512" spans="2:13" x14ac:dyDescent="0.25">
      <c r="B512" s="273" t="s">
        <v>1615</v>
      </c>
      <c r="C512" s="273" t="s">
        <v>1009</v>
      </c>
      <c r="D512" s="273" t="s">
        <v>1526</v>
      </c>
      <c r="E512" s="273" t="s">
        <v>1601</v>
      </c>
      <c r="F512" s="277" t="s">
        <v>1616</v>
      </c>
      <c r="G512" s="278" t="s">
        <v>559</v>
      </c>
      <c r="H512" s="278">
        <f t="shared" si="14"/>
        <v>48</v>
      </c>
      <c r="I512" s="273">
        <v>1</v>
      </c>
      <c r="J512" s="273">
        <v>34</v>
      </c>
      <c r="K512" s="273">
        <v>32</v>
      </c>
      <c r="L512" s="280" t="s">
        <v>1150</v>
      </c>
      <c r="M512" s="273" t="s">
        <v>501</v>
      </c>
    </row>
    <row r="513" spans="2:13" x14ac:dyDescent="0.25">
      <c r="B513" s="273" t="s">
        <v>1617</v>
      </c>
      <c r="C513" s="273" t="s">
        <v>1009</v>
      </c>
      <c r="D513" s="273" t="s">
        <v>1526</v>
      </c>
      <c r="E513" s="273" t="s">
        <v>1601</v>
      </c>
      <c r="F513" s="277" t="s">
        <v>1602</v>
      </c>
      <c r="G513" s="278" t="s">
        <v>633</v>
      </c>
      <c r="H513" s="278">
        <f t="shared" si="14"/>
        <v>48</v>
      </c>
      <c r="I513" s="273">
        <v>1</v>
      </c>
      <c r="J513" s="273">
        <v>34</v>
      </c>
      <c r="K513" s="273">
        <v>50</v>
      </c>
      <c r="L513" s="280" t="s">
        <v>1150</v>
      </c>
      <c r="M513" s="273" t="s">
        <v>501</v>
      </c>
    </row>
    <row r="514" spans="2:13" x14ac:dyDescent="0.25">
      <c r="B514" s="273" t="s">
        <v>1618</v>
      </c>
      <c r="C514" s="273" t="s">
        <v>1009</v>
      </c>
      <c r="D514" s="273" t="s">
        <v>1526</v>
      </c>
      <c r="E514" s="273" t="s">
        <v>1619</v>
      </c>
      <c r="F514" s="277" t="s">
        <v>1620</v>
      </c>
      <c r="G514" s="278" t="s">
        <v>633</v>
      </c>
      <c r="H514" s="278">
        <f t="shared" si="14"/>
        <v>48</v>
      </c>
      <c r="I514" s="273">
        <v>1</v>
      </c>
      <c r="J514" s="273"/>
      <c r="K514" s="273">
        <v>123</v>
      </c>
      <c r="L514" s="280" t="s">
        <v>1150</v>
      </c>
      <c r="M514" s="273" t="s">
        <v>501</v>
      </c>
    </row>
    <row r="515" spans="2:13" x14ac:dyDescent="0.25">
      <c r="B515" s="273" t="s">
        <v>1621</v>
      </c>
      <c r="C515" s="273" t="s">
        <v>1009</v>
      </c>
      <c r="D515" s="273" t="s">
        <v>1526</v>
      </c>
      <c r="E515" s="273" t="s">
        <v>1622</v>
      </c>
      <c r="F515" s="277" t="s">
        <v>1623</v>
      </c>
      <c r="G515" s="273" t="s">
        <v>559</v>
      </c>
      <c r="H515" s="278">
        <f t="shared" si="14"/>
        <v>48</v>
      </c>
      <c r="I515" s="273">
        <v>1</v>
      </c>
      <c r="J515" s="273">
        <v>25</v>
      </c>
      <c r="K515" s="281">
        <v>25</v>
      </c>
      <c r="L515" s="280" t="s">
        <v>1150</v>
      </c>
      <c r="M515" s="273" t="s">
        <v>501</v>
      </c>
    </row>
    <row r="516" spans="2:13" x14ac:dyDescent="0.25">
      <c r="B516" s="273" t="s">
        <v>1624</v>
      </c>
      <c r="C516" s="273" t="s">
        <v>1009</v>
      </c>
      <c r="D516" s="273" t="s">
        <v>1526</v>
      </c>
      <c r="E516" s="273" t="s">
        <v>1622</v>
      </c>
      <c r="F516" s="277" t="s">
        <v>1625</v>
      </c>
      <c r="G516" s="273" t="s">
        <v>559</v>
      </c>
      <c r="H516" s="278">
        <f t="shared" si="14"/>
        <v>48</v>
      </c>
      <c r="I516" s="273">
        <v>1</v>
      </c>
      <c r="J516" s="273">
        <v>25</v>
      </c>
      <c r="K516" s="281">
        <v>19</v>
      </c>
      <c r="L516" s="280" t="s">
        <v>1150</v>
      </c>
      <c r="M516" s="273" t="s">
        <v>501</v>
      </c>
    </row>
    <row r="517" spans="2:13" x14ac:dyDescent="0.25">
      <c r="B517" s="273" t="s">
        <v>1626</v>
      </c>
      <c r="C517" s="273" t="s">
        <v>1009</v>
      </c>
      <c r="D517" s="273" t="s">
        <v>1526</v>
      </c>
      <c r="E517" s="273" t="s">
        <v>1622</v>
      </c>
      <c r="F517" s="277" t="s">
        <v>1627</v>
      </c>
      <c r="G517" s="273" t="s">
        <v>559</v>
      </c>
      <c r="H517" s="278">
        <f t="shared" si="14"/>
        <v>48</v>
      </c>
      <c r="I517" s="273">
        <v>1</v>
      </c>
      <c r="J517" s="273">
        <v>25</v>
      </c>
      <c r="K517" s="281">
        <v>20</v>
      </c>
      <c r="L517" s="280" t="s">
        <v>1150</v>
      </c>
      <c r="M517" s="273" t="s">
        <v>501</v>
      </c>
    </row>
    <row r="518" spans="2:13" x14ac:dyDescent="0.25">
      <c r="B518" s="273" t="s">
        <v>1628</v>
      </c>
      <c r="C518" s="273" t="s">
        <v>1009</v>
      </c>
      <c r="D518" s="273" t="s">
        <v>1526</v>
      </c>
      <c r="E518" s="273" t="s">
        <v>1629</v>
      </c>
      <c r="F518" s="277" t="s">
        <v>1630</v>
      </c>
      <c r="G518" s="278" t="s">
        <v>1044</v>
      </c>
      <c r="H518" s="278">
        <f t="shared" si="14"/>
        <v>48</v>
      </c>
      <c r="I518" s="273">
        <v>1</v>
      </c>
      <c r="J518" s="273">
        <v>40</v>
      </c>
      <c r="K518" s="273">
        <v>50</v>
      </c>
      <c r="L518" s="280" t="s">
        <v>1150</v>
      </c>
      <c r="M518" s="273" t="s">
        <v>501</v>
      </c>
    </row>
    <row r="519" spans="2:13" x14ac:dyDescent="0.25">
      <c r="B519" s="273" t="s">
        <v>1631</v>
      </c>
      <c r="C519" s="273" t="s">
        <v>1009</v>
      </c>
      <c r="D519" s="273" t="s">
        <v>1526</v>
      </c>
      <c r="E519" s="273" t="s">
        <v>1632</v>
      </c>
      <c r="F519" s="277" t="s">
        <v>1633</v>
      </c>
      <c r="G519" s="278" t="s">
        <v>633</v>
      </c>
      <c r="H519" s="278">
        <f t="shared" si="14"/>
        <v>48</v>
      </c>
      <c r="I519" s="273">
        <v>1</v>
      </c>
      <c r="J519" s="273">
        <v>60</v>
      </c>
      <c r="K519" s="273">
        <v>85</v>
      </c>
      <c r="L519" s="280" t="s">
        <v>1150</v>
      </c>
      <c r="M519" s="273" t="s">
        <v>501</v>
      </c>
    </row>
    <row r="520" spans="2:13" x14ac:dyDescent="0.25">
      <c r="B520" s="273" t="s">
        <v>1634</v>
      </c>
      <c r="C520" s="273" t="s">
        <v>1009</v>
      </c>
      <c r="D520" s="273" t="s">
        <v>1526</v>
      </c>
      <c r="E520" s="273" t="s">
        <v>1635</v>
      </c>
      <c r="F520" s="277" t="s">
        <v>1636</v>
      </c>
      <c r="G520" s="278" t="s">
        <v>559</v>
      </c>
      <c r="H520" s="278">
        <f t="shared" si="14"/>
        <v>48</v>
      </c>
      <c r="I520" s="273">
        <v>1</v>
      </c>
      <c r="J520" s="273">
        <v>39</v>
      </c>
      <c r="K520" s="273">
        <v>46</v>
      </c>
      <c r="L520" s="280" t="s">
        <v>1150</v>
      </c>
      <c r="M520" s="273" t="s">
        <v>501</v>
      </c>
    </row>
    <row r="521" spans="2:13" x14ac:dyDescent="0.25">
      <c r="B521" s="273" t="s">
        <v>1637</v>
      </c>
      <c r="C521" s="273" t="s">
        <v>1009</v>
      </c>
      <c r="D521" s="273" t="s">
        <v>1526</v>
      </c>
      <c r="E521" s="273" t="s">
        <v>1635</v>
      </c>
      <c r="F521" s="277" t="s">
        <v>1638</v>
      </c>
      <c r="G521" s="278" t="s">
        <v>559</v>
      </c>
      <c r="H521" s="278">
        <f t="shared" si="14"/>
        <v>48</v>
      </c>
      <c r="I521" s="273">
        <v>1</v>
      </c>
      <c r="J521" s="273">
        <v>39</v>
      </c>
      <c r="K521" s="273">
        <v>37</v>
      </c>
      <c r="L521" s="280" t="s">
        <v>1150</v>
      </c>
      <c r="M521" s="273" t="s">
        <v>501</v>
      </c>
    </row>
    <row r="522" spans="2:13" x14ac:dyDescent="0.25">
      <c r="B522" s="273" t="s">
        <v>1639</v>
      </c>
      <c r="C522" s="273" t="s">
        <v>1009</v>
      </c>
      <c r="D522" s="273" t="s">
        <v>1526</v>
      </c>
      <c r="E522" s="273" t="s">
        <v>1635</v>
      </c>
      <c r="F522" s="277" t="s">
        <v>1640</v>
      </c>
      <c r="G522" s="278" t="s">
        <v>633</v>
      </c>
      <c r="H522" s="278">
        <f t="shared" si="14"/>
        <v>48</v>
      </c>
      <c r="I522" s="273">
        <v>1</v>
      </c>
      <c r="J522" s="273">
        <v>39</v>
      </c>
      <c r="K522" s="273">
        <v>60</v>
      </c>
      <c r="L522" s="280" t="s">
        <v>1150</v>
      </c>
      <c r="M522" s="273" t="s">
        <v>501</v>
      </c>
    </row>
    <row r="523" spans="2:13" x14ac:dyDescent="0.25">
      <c r="B523" s="273" t="s">
        <v>1641</v>
      </c>
      <c r="C523" s="273" t="s">
        <v>1009</v>
      </c>
      <c r="D523" s="273" t="s">
        <v>1526</v>
      </c>
      <c r="E523" s="273" t="s">
        <v>1635</v>
      </c>
      <c r="F523" s="277" t="s">
        <v>1642</v>
      </c>
      <c r="G523" s="278" t="s">
        <v>633</v>
      </c>
      <c r="H523" s="278">
        <f t="shared" si="14"/>
        <v>48</v>
      </c>
      <c r="I523" s="273">
        <v>1</v>
      </c>
      <c r="J523" s="273">
        <v>39</v>
      </c>
      <c r="K523" s="273">
        <v>52</v>
      </c>
      <c r="L523" s="280" t="s">
        <v>1150</v>
      </c>
      <c r="M523" s="273" t="s">
        <v>501</v>
      </c>
    </row>
    <row r="524" spans="2:13" x14ac:dyDescent="0.25">
      <c r="B524" s="273" t="s">
        <v>1643</v>
      </c>
      <c r="C524" s="273" t="s">
        <v>1009</v>
      </c>
      <c r="D524" s="273" t="s">
        <v>1526</v>
      </c>
      <c r="E524" s="273" t="s">
        <v>1629</v>
      </c>
      <c r="F524" s="277" t="s">
        <v>1644</v>
      </c>
      <c r="G524" s="278" t="s">
        <v>559</v>
      </c>
      <c r="H524" s="278">
        <f t="shared" si="14"/>
        <v>48</v>
      </c>
      <c r="I524" s="273">
        <v>1</v>
      </c>
      <c r="J524" s="273">
        <v>40</v>
      </c>
      <c r="K524" s="273">
        <v>36</v>
      </c>
      <c r="L524" s="280" t="s">
        <v>1150</v>
      </c>
      <c r="M524" s="273" t="s">
        <v>501</v>
      </c>
    </row>
    <row r="525" spans="2:13" x14ac:dyDescent="0.25">
      <c r="B525" s="273" t="s">
        <v>1645</v>
      </c>
      <c r="C525" s="273" t="s">
        <v>1009</v>
      </c>
      <c r="D525" s="273" t="s">
        <v>1526</v>
      </c>
      <c r="E525" s="273" t="s">
        <v>1629</v>
      </c>
      <c r="F525" s="277" t="s">
        <v>1630</v>
      </c>
      <c r="G525" s="278" t="s">
        <v>633</v>
      </c>
      <c r="H525" s="278">
        <f t="shared" si="14"/>
        <v>48</v>
      </c>
      <c r="I525" s="273">
        <v>1</v>
      </c>
      <c r="J525" s="273">
        <v>40</v>
      </c>
      <c r="K525" s="273">
        <v>57</v>
      </c>
      <c r="L525" s="280" t="s">
        <v>1150</v>
      </c>
      <c r="M525" s="273" t="s">
        <v>501</v>
      </c>
    </row>
    <row r="526" spans="2:13" x14ac:dyDescent="0.25">
      <c r="B526" s="273" t="s">
        <v>1646</v>
      </c>
      <c r="C526" s="273" t="s">
        <v>1009</v>
      </c>
      <c r="D526" s="273" t="s">
        <v>1526</v>
      </c>
      <c r="E526" s="273" t="s">
        <v>1647</v>
      </c>
      <c r="F526" s="277" t="s">
        <v>1648</v>
      </c>
      <c r="G526" s="278" t="s">
        <v>633</v>
      </c>
      <c r="H526" s="278">
        <f t="shared" si="14"/>
        <v>48</v>
      </c>
      <c r="I526" s="273">
        <v>1</v>
      </c>
      <c r="J526" s="273">
        <v>110</v>
      </c>
      <c r="K526" s="273">
        <v>135</v>
      </c>
      <c r="L526" s="280" t="s">
        <v>1150</v>
      </c>
      <c r="M526" s="273" t="s">
        <v>501</v>
      </c>
    </row>
    <row r="527" spans="2:13" x14ac:dyDescent="0.25">
      <c r="B527" s="273" t="s">
        <v>1649</v>
      </c>
      <c r="C527" s="273" t="s">
        <v>1009</v>
      </c>
      <c r="D527" s="273" t="s">
        <v>1526</v>
      </c>
      <c r="E527" s="273" t="s">
        <v>1601</v>
      </c>
      <c r="F527" s="277" t="s">
        <v>1650</v>
      </c>
      <c r="G527" s="278" t="s">
        <v>1044</v>
      </c>
      <c r="H527" s="278">
        <f t="shared" ref="H527:H590" si="15">MID(B527,2,1)*12</f>
        <v>48</v>
      </c>
      <c r="I527" s="273">
        <v>2</v>
      </c>
      <c r="J527" s="273">
        <v>34</v>
      </c>
      <c r="K527" s="273">
        <v>72</v>
      </c>
      <c r="L527" s="280" t="s">
        <v>1254</v>
      </c>
      <c r="M527" s="273" t="s">
        <v>501</v>
      </c>
    </row>
    <row r="528" spans="2:13" x14ac:dyDescent="0.25">
      <c r="B528" s="273" t="s">
        <v>1651</v>
      </c>
      <c r="C528" s="273" t="s">
        <v>1009</v>
      </c>
      <c r="D528" s="273" t="s">
        <v>1526</v>
      </c>
      <c r="E528" s="273" t="s">
        <v>1601</v>
      </c>
      <c r="F528" s="277" t="s">
        <v>1652</v>
      </c>
      <c r="G528" s="278" t="s">
        <v>1044</v>
      </c>
      <c r="H528" s="278">
        <f t="shared" si="15"/>
        <v>48</v>
      </c>
      <c r="I528" s="273">
        <v>2</v>
      </c>
      <c r="J528" s="273">
        <v>34</v>
      </c>
      <c r="K528" s="273">
        <v>76</v>
      </c>
      <c r="L528" s="280" t="s">
        <v>1254</v>
      </c>
      <c r="M528" s="273" t="s">
        <v>501</v>
      </c>
    </row>
    <row r="529" spans="2:13" x14ac:dyDescent="0.25">
      <c r="B529" s="273" t="s">
        <v>1653</v>
      </c>
      <c r="C529" s="273" t="s">
        <v>1009</v>
      </c>
      <c r="D529" s="273" t="s">
        <v>1526</v>
      </c>
      <c r="E529" s="273" t="s">
        <v>1608</v>
      </c>
      <c r="F529" s="277" t="s">
        <v>1654</v>
      </c>
      <c r="G529" s="278" t="s">
        <v>633</v>
      </c>
      <c r="H529" s="278">
        <f t="shared" si="15"/>
        <v>48</v>
      </c>
      <c r="I529" s="273">
        <v>2</v>
      </c>
      <c r="J529" s="273">
        <v>55</v>
      </c>
      <c r="K529" s="273">
        <v>135</v>
      </c>
      <c r="L529" s="280" t="s">
        <v>1254</v>
      </c>
      <c r="M529" s="273" t="s">
        <v>501</v>
      </c>
    </row>
    <row r="530" spans="2:13" x14ac:dyDescent="0.25">
      <c r="B530" s="273" t="s">
        <v>1655</v>
      </c>
      <c r="C530" s="273" t="s">
        <v>1009</v>
      </c>
      <c r="D530" s="273" t="s">
        <v>1526</v>
      </c>
      <c r="E530" s="273" t="s">
        <v>1611</v>
      </c>
      <c r="F530" s="277" t="s">
        <v>1656</v>
      </c>
      <c r="G530" s="278" t="s">
        <v>633</v>
      </c>
      <c r="H530" s="278">
        <f t="shared" si="15"/>
        <v>48</v>
      </c>
      <c r="I530" s="273">
        <v>2</v>
      </c>
      <c r="J530" s="273">
        <v>30</v>
      </c>
      <c r="K530" s="273">
        <v>82</v>
      </c>
      <c r="L530" s="280" t="s">
        <v>1254</v>
      </c>
      <c r="M530" s="273" t="s">
        <v>501</v>
      </c>
    </row>
    <row r="531" spans="2:13" x14ac:dyDescent="0.25">
      <c r="B531" s="273" t="s">
        <v>1657</v>
      </c>
      <c r="C531" s="273" t="s">
        <v>1009</v>
      </c>
      <c r="D531" s="273" t="s">
        <v>1526</v>
      </c>
      <c r="E531" s="273" t="s">
        <v>1601</v>
      </c>
      <c r="F531" s="277" t="s">
        <v>1658</v>
      </c>
      <c r="G531" s="278" t="s">
        <v>559</v>
      </c>
      <c r="H531" s="278">
        <f t="shared" si="15"/>
        <v>48</v>
      </c>
      <c r="I531" s="273">
        <v>2</v>
      </c>
      <c r="J531" s="273">
        <v>34</v>
      </c>
      <c r="K531" s="273">
        <v>60</v>
      </c>
      <c r="L531" s="280" t="s">
        <v>1254</v>
      </c>
      <c r="M531" s="273" t="s">
        <v>501</v>
      </c>
    </row>
    <row r="532" spans="2:13" x14ac:dyDescent="0.25">
      <c r="B532" s="273" t="s">
        <v>1659</v>
      </c>
      <c r="C532" s="273" t="s">
        <v>1009</v>
      </c>
      <c r="D532" s="273" t="s">
        <v>1526</v>
      </c>
      <c r="E532" s="273" t="s">
        <v>1601</v>
      </c>
      <c r="F532" s="277" t="s">
        <v>1650</v>
      </c>
      <c r="G532" s="278" t="s">
        <v>633</v>
      </c>
      <c r="H532" s="278">
        <f t="shared" si="15"/>
        <v>48</v>
      </c>
      <c r="I532" s="273">
        <v>2</v>
      </c>
      <c r="J532" s="273">
        <v>34</v>
      </c>
      <c r="K532" s="273">
        <v>80</v>
      </c>
      <c r="L532" s="280" t="s">
        <v>1254</v>
      </c>
      <c r="M532" s="273" t="s">
        <v>501</v>
      </c>
    </row>
    <row r="533" spans="2:13" x14ac:dyDescent="0.25">
      <c r="B533" s="273" t="s">
        <v>1660</v>
      </c>
      <c r="C533" s="273" t="s">
        <v>1009</v>
      </c>
      <c r="D533" s="273" t="s">
        <v>1526</v>
      </c>
      <c r="E533" s="273" t="s">
        <v>1619</v>
      </c>
      <c r="F533" s="277" t="s">
        <v>1661</v>
      </c>
      <c r="G533" s="278" t="s">
        <v>633</v>
      </c>
      <c r="H533" s="278">
        <f t="shared" si="15"/>
        <v>48</v>
      </c>
      <c r="I533" s="273">
        <v>2</v>
      </c>
      <c r="J533" s="273"/>
      <c r="K533" s="273">
        <v>210</v>
      </c>
      <c r="L533" s="280" t="s">
        <v>1254</v>
      </c>
      <c r="M533" s="273" t="s">
        <v>501</v>
      </c>
    </row>
    <row r="534" spans="2:13" x14ac:dyDescent="0.25">
      <c r="B534" s="273" t="s">
        <v>1662</v>
      </c>
      <c r="C534" s="273" t="s">
        <v>1009</v>
      </c>
      <c r="D534" s="273" t="s">
        <v>1526</v>
      </c>
      <c r="E534" s="273" t="s">
        <v>1622</v>
      </c>
      <c r="F534" s="277" t="s">
        <v>1663</v>
      </c>
      <c r="G534" s="273" t="s">
        <v>559</v>
      </c>
      <c r="H534" s="278">
        <f t="shared" si="15"/>
        <v>48</v>
      </c>
      <c r="I534" s="273">
        <v>2</v>
      </c>
      <c r="J534" s="273">
        <v>25</v>
      </c>
      <c r="K534" s="281">
        <v>40</v>
      </c>
      <c r="L534" s="280" t="s">
        <v>1254</v>
      </c>
      <c r="M534" s="273" t="s">
        <v>501</v>
      </c>
    </row>
    <row r="535" spans="2:13" x14ac:dyDescent="0.25">
      <c r="B535" s="273" t="s">
        <v>1664</v>
      </c>
      <c r="C535" s="273" t="s">
        <v>1009</v>
      </c>
      <c r="D535" s="273" t="s">
        <v>1526</v>
      </c>
      <c r="E535" s="273" t="s">
        <v>1622</v>
      </c>
      <c r="F535" s="277" t="s">
        <v>1665</v>
      </c>
      <c r="G535" s="273" t="s">
        <v>559</v>
      </c>
      <c r="H535" s="278">
        <f t="shared" si="15"/>
        <v>48</v>
      </c>
      <c r="I535" s="273">
        <v>2</v>
      </c>
      <c r="J535" s="273">
        <v>25</v>
      </c>
      <c r="K535" s="281">
        <v>39</v>
      </c>
      <c r="L535" s="280" t="s">
        <v>1254</v>
      </c>
      <c r="M535" s="273" t="s">
        <v>501</v>
      </c>
    </row>
    <row r="536" spans="2:13" x14ac:dyDescent="0.25">
      <c r="B536" s="273" t="s">
        <v>1666</v>
      </c>
      <c r="C536" s="273" t="s">
        <v>1009</v>
      </c>
      <c r="D536" s="273" t="s">
        <v>1526</v>
      </c>
      <c r="E536" s="273" t="s">
        <v>1629</v>
      </c>
      <c r="F536" s="277" t="s">
        <v>1667</v>
      </c>
      <c r="G536" s="278" t="s">
        <v>1044</v>
      </c>
      <c r="H536" s="278">
        <f t="shared" si="15"/>
        <v>48</v>
      </c>
      <c r="I536" s="273">
        <v>2</v>
      </c>
      <c r="J536" s="273">
        <v>40</v>
      </c>
      <c r="K536" s="273">
        <v>86</v>
      </c>
      <c r="L536" s="280" t="s">
        <v>1254</v>
      </c>
      <c r="M536" s="273" t="s">
        <v>501</v>
      </c>
    </row>
    <row r="537" spans="2:13" x14ac:dyDescent="0.25">
      <c r="B537" s="273" t="s">
        <v>1668</v>
      </c>
      <c r="C537" s="273" t="s">
        <v>1009</v>
      </c>
      <c r="D537" s="273" t="s">
        <v>1526</v>
      </c>
      <c r="E537" s="273" t="s">
        <v>1632</v>
      </c>
      <c r="F537" s="277" t="s">
        <v>1669</v>
      </c>
      <c r="G537" s="278" t="s">
        <v>633</v>
      </c>
      <c r="H537" s="278">
        <f t="shared" si="15"/>
        <v>48</v>
      </c>
      <c r="I537" s="273">
        <v>2</v>
      </c>
      <c r="J537" s="273">
        <v>60</v>
      </c>
      <c r="K537" s="273">
        <v>145</v>
      </c>
      <c r="L537" s="280" t="s">
        <v>1254</v>
      </c>
      <c r="M537" s="273" t="s">
        <v>501</v>
      </c>
    </row>
    <row r="538" spans="2:13" x14ac:dyDescent="0.25">
      <c r="B538" s="273" t="s">
        <v>1670</v>
      </c>
      <c r="C538" s="273" t="s">
        <v>1009</v>
      </c>
      <c r="D538" s="273" t="s">
        <v>1526</v>
      </c>
      <c r="E538" s="273" t="s">
        <v>1635</v>
      </c>
      <c r="F538" s="277" t="s">
        <v>1671</v>
      </c>
      <c r="G538" s="278" t="s">
        <v>559</v>
      </c>
      <c r="H538" s="278">
        <f t="shared" si="15"/>
        <v>48</v>
      </c>
      <c r="I538" s="273">
        <v>2</v>
      </c>
      <c r="J538" s="273">
        <v>39</v>
      </c>
      <c r="K538" s="273">
        <v>74</v>
      </c>
      <c r="L538" s="280" t="s">
        <v>1254</v>
      </c>
      <c r="M538" s="273" t="s">
        <v>501</v>
      </c>
    </row>
    <row r="539" spans="2:13" x14ac:dyDescent="0.25">
      <c r="B539" s="273" t="s">
        <v>1672</v>
      </c>
      <c r="C539" s="273" t="s">
        <v>1009</v>
      </c>
      <c r="D539" s="273" t="s">
        <v>1526</v>
      </c>
      <c r="E539" s="273" t="s">
        <v>1635</v>
      </c>
      <c r="F539" s="277" t="s">
        <v>1673</v>
      </c>
      <c r="G539" s="278" t="s">
        <v>633</v>
      </c>
      <c r="H539" s="278">
        <f t="shared" si="15"/>
        <v>48</v>
      </c>
      <c r="I539" s="273">
        <v>2</v>
      </c>
      <c r="J539" s="273">
        <v>39</v>
      </c>
      <c r="K539" s="273">
        <v>103</v>
      </c>
      <c r="L539" s="280" t="s">
        <v>1254</v>
      </c>
      <c r="M539" s="273" t="s">
        <v>501</v>
      </c>
    </row>
    <row r="540" spans="2:13" x14ac:dyDescent="0.25">
      <c r="B540" s="273" t="s">
        <v>1674</v>
      </c>
      <c r="C540" s="273" t="s">
        <v>1009</v>
      </c>
      <c r="D540" s="273" t="s">
        <v>1526</v>
      </c>
      <c r="E540" s="273" t="s">
        <v>1492</v>
      </c>
      <c r="F540" s="277" t="s">
        <v>1675</v>
      </c>
      <c r="G540" s="278" t="s">
        <v>559</v>
      </c>
      <c r="H540" s="278">
        <f t="shared" si="15"/>
        <v>48</v>
      </c>
      <c r="I540" s="273">
        <v>2</v>
      </c>
      <c r="J540" s="273">
        <v>28</v>
      </c>
      <c r="K540" s="273">
        <v>63</v>
      </c>
      <c r="L540" s="280" t="s">
        <v>1254</v>
      </c>
      <c r="M540" s="273" t="s">
        <v>501</v>
      </c>
    </row>
    <row r="541" spans="2:13" x14ac:dyDescent="0.25">
      <c r="B541" s="273" t="s">
        <v>1676</v>
      </c>
      <c r="C541" s="273" t="s">
        <v>1009</v>
      </c>
      <c r="D541" s="273" t="s">
        <v>1526</v>
      </c>
      <c r="E541" s="273" t="s">
        <v>1629</v>
      </c>
      <c r="F541" s="277" t="s">
        <v>1667</v>
      </c>
      <c r="G541" s="278" t="s">
        <v>633</v>
      </c>
      <c r="H541" s="278">
        <f t="shared" si="15"/>
        <v>48</v>
      </c>
      <c r="I541" s="273">
        <v>2</v>
      </c>
      <c r="J541" s="273">
        <v>40</v>
      </c>
      <c r="K541" s="273">
        <v>94</v>
      </c>
      <c r="L541" s="280" t="s">
        <v>1254</v>
      </c>
      <c r="M541" s="273" t="s">
        <v>501</v>
      </c>
    </row>
    <row r="542" spans="2:13" x14ac:dyDescent="0.25">
      <c r="B542" s="273" t="s">
        <v>1677</v>
      </c>
      <c r="C542" s="273" t="s">
        <v>1009</v>
      </c>
      <c r="D542" s="273" t="s">
        <v>1526</v>
      </c>
      <c r="E542" s="273" t="s">
        <v>1647</v>
      </c>
      <c r="F542" s="277" t="s">
        <v>1678</v>
      </c>
      <c r="G542" s="278" t="s">
        <v>633</v>
      </c>
      <c r="H542" s="278">
        <f t="shared" si="15"/>
        <v>48</v>
      </c>
      <c r="I542" s="273">
        <v>2</v>
      </c>
      <c r="J542" s="273">
        <v>110</v>
      </c>
      <c r="K542" s="273">
        <v>242</v>
      </c>
      <c r="L542" s="280" t="s">
        <v>1254</v>
      </c>
      <c r="M542" s="273" t="s">
        <v>501</v>
      </c>
    </row>
    <row r="543" spans="2:13" x14ac:dyDescent="0.25">
      <c r="B543" s="273" t="s">
        <v>1679</v>
      </c>
      <c r="C543" s="273" t="s">
        <v>1009</v>
      </c>
      <c r="D543" s="273" t="s">
        <v>1526</v>
      </c>
      <c r="E543" s="273" t="s">
        <v>1601</v>
      </c>
      <c r="F543" s="277" t="s">
        <v>1680</v>
      </c>
      <c r="G543" s="278" t="s">
        <v>1044</v>
      </c>
      <c r="H543" s="278">
        <f t="shared" si="15"/>
        <v>48</v>
      </c>
      <c r="I543" s="273">
        <v>3</v>
      </c>
      <c r="J543" s="273">
        <v>34</v>
      </c>
      <c r="K543" s="273">
        <v>115</v>
      </c>
      <c r="L543" s="280" t="s">
        <v>1310</v>
      </c>
      <c r="M543" s="273" t="s">
        <v>501</v>
      </c>
    </row>
    <row r="544" spans="2:13" x14ac:dyDescent="0.25">
      <c r="B544" s="273" t="s">
        <v>1681</v>
      </c>
      <c r="C544" s="273" t="s">
        <v>1009</v>
      </c>
      <c r="D544" s="273" t="s">
        <v>1526</v>
      </c>
      <c r="E544" s="273" t="s">
        <v>1608</v>
      </c>
      <c r="F544" s="277" t="s">
        <v>1682</v>
      </c>
      <c r="G544" s="278" t="s">
        <v>633</v>
      </c>
      <c r="H544" s="278">
        <f t="shared" si="15"/>
        <v>48</v>
      </c>
      <c r="I544" s="273">
        <v>3</v>
      </c>
      <c r="J544" s="273">
        <v>55</v>
      </c>
      <c r="K544" s="273">
        <v>215</v>
      </c>
      <c r="L544" s="280" t="s">
        <v>1310</v>
      </c>
      <c r="M544" s="273" t="s">
        <v>501</v>
      </c>
    </row>
    <row r="545" spans="2:13" x14ac:dyDescent="0.25">
      <c r="B545" s="273" t="s">
        <v>1683</v>
      </c>
      <c r="C545" s="273" t="s">
        <v>1009</v>
      </c>
      <c r="D545" s="273" t="s">
        <v>1526</v>
      </c>
      <c r="E545" s="273" t="s">
        <v>1611</v>
      </c>
      <c r="F545" s="277" t="s">
        <v>1684</v>
      </c>
      <c r="G545" s="278" t="s">
        <v>633</v>
      </c>
      <c r="H545" s="278">
        <f t="shared" si="15"/>
        <v>48</v>
      </c>
      <c r="I545" s="273">
        <v>3</v>
      </c>
      <c r="J545" s="273">
        <v>30</v>
      </c>
      <c r="K545" s="273">
        <v>133</v>
      </c>
      <c r="L545" s="280" t="s">
        <v>1310</v>
      </c>
      <c r="M545" s="273" t="s">
        <v>501</v>
      </c>
    </row>
    <row r="546" spans="2:13" x14ac:dyDescent="0.25">
      <c r="B546" s="273" t="s">
        <v>1685</v>
      </c>
      <c r="C546" s="273" t="s">
        <v>1009</v>
      </c>
      <c r="D546" s="273" t="s">
        <v>1526</v>
      </c>
      <c r="E546" s="273" t="s">
        <v>1601</v>
      </c>
      <c r="F546" s="277" t="s">
        <v>1686</v>
      </c>
      <c r="G546" s="278" t="s">
        <v>559</v>
      </c>
      <c r="H546" s="278">
        <f t="shared" si="15"/>
        <v>48</v>
      </c>
      <c r="I546" s="273">
        <v>3</v>
      </c>
      <c r="J546" s="273">
        <v>34</v>
      </c>
      <c r="K546" s="273">
        <v>92</v>
      </c>
      <c r="L546" s="280" t="s">
        <v>1310</v>
      </c>
      <c r="M546" s="273" t="s">
        <v>501</v>
      </c>
    </row>
    <row r="547" spans="2:13" x14ac:dyDescent="0.25">
      <c r="B547" s="273" t="s">
        <v>1687</v>
      </c>
      <c r="C547" s="273" t="s">
        <v>1009</v>
      </c>
      <c r="D547" s="273" t="s">
        <v>1526</v>
      </c>
      <c r="E547" s="273" t="s">
        <v>1601</v>
      </c>
      <c r="F547" s="277" t="s">
        <v>1680</v>
      </c>
      <c r="G547" s="278" t="s">
        <v>633</v>
      </c>
      <c r="H547" s="278">
        <f t="shared" si="15"/>
        <v>48</v>
      </c>
      <c r="I547" s="273">
        <v>3</v>
      </c>
      <c r="J547" s="273">
        <v>34</v>
      </c>
      <c r="K547" s="273">
        <v>130</v>
      </c>
      <c r="L547" s="280" t="s">
        <v>1310</v>
      </c>
      <c r="M547" s="273" t="s">
        <v>501</v>
      </c>
    </row>
    <row r="548" spans="2:13" x14ac:dyDescent="0.25">
      <c r="B548" s="273" t="s">
        <v>1688</v>
      </c>
      <c r="C548" s="273" t="s">
        <v>1009</v>
      </c>
      <c r="D548" s="273" t="s">
        <v>1526</v>
      </c>
      <c r="E548" s="273" t="s">
        <v>1619</v>
      </c>
      <c r="F548" s="277" t="s">
        <v>1689</v>
      </c>
      <c r="G548" s="278" t="s">
        <v>633</v>
      </c>
      <c r="H548" s="278">
        <f t="shared" si="15"/>
        <v>48</v>
      </c>
      <c r="I548" s="273">
        <v>3</v>
      </c>
      <c r="J548" s="273"/>
      <c r="K548" s="273">
        <v>333</v>
      </c>
      <c r="L548" s="280" t="s">
        <v>1310</v>
      </c>
      <c r="M548" s="273" t="s">
        <v>501</v>
      </c>
    </row>
    <row r="549" spans="2:13" x14ac:dyDescent="0.25">
      <c r="B549" s="273" t="s">
        <v>1690</v>
      </c>
      <c r="C549" s="273" t="s">
        <v>1009</v>
      </c>
      <c r="D549" s="273" t="s">
        <v>1526</v>
      </c>
      <c r="E549" s="273" t="s">
        <v>1622</v>
      </c>
      <c r="F549" s="277" t="s">
        <v>1691</v>
      </c>
      <c r="G549" s="273" t="s">
        <v>559</v>
      </c>
      <c r="H549" s="278">
        <f t="shared" si="15"/>
        <v>48</v>
      </c>
      <c r="I549" s="273">
        <v>3</v>
      </c>
      <c r="J549" s="273">
        <v>25</v>
      </c>
      <c r="K549" s="281">
        <v>60</v>
      </c>
      <c r="L549" s="280" t="s">
        <v>1310</v>
      </c>
      <c r="M549" s="273" t="s">
        <v>501</v>
      </c>
    </row>
    <row r="550" spans="2:13" x14ac:dyDescent="0.25">
      <c r="B550" s="273" t="s">
        <v>1692</v>
      </c>
      <c r="C550" s="273" t="s">
        <v>1009</v>
      </c>
      <c r="D550" s="273" t="s">
        <v>1526</v>
      </c>
      <c r="E550" s="273" t="s">
        <v>1629</v>
      </c>
      <c r="F550" s="277" t="s">
        <v>1693</v>
      </c>
      <c r="G550" s="278" t="s">
        <v>1044</v>
      </c>
      <c r="H550" s="278">
        <f t="shared" si="15"/>
        <v>48</v>
      </c>
      <c r="I550" s="273">
        <v>3</v>
      </c>
      <c r="J550" s="273">
        <v>40</v>
      </c>
      <c r="K550" s="273">
        <v>136</v>
      </c>
      <c r="L550" s="280" t="s">
        <v>1310</v>
      </c>
      <c r="M550" s="273" t="s">
        <v>501</v>
      </c>
    </row>
    <row r="551" spans="2:13" x14ac:dyDescent="0.25">
      <c r="B551" s="273" t="s">
        <v>1694</v>
      </c>
      <c r="C551" s="273" t="s">
        <v>1009</v>
      </c>
      <c r="D551" s="273" t="s">
        <v>1526</v>
      </c>
      <c r="E551" s="273" t="s">
        <v>1632</v>
      </c>
      <c r="F551" s="277" t="s">
        <v>1695</v>
      </c>
      <c r="G551" s="278" t="s">
        <v>633</v>
      </c>
      <c r="H551" s="278">
        <f t="shared" si="15"/>
        <v>48</v>
      </c>
      <c r="I551" s="273">
        <v>3</v>
      </c>
      <c r="J551" s="273">
        <v>60</v>
      </c>
      <c r="K551" s="273">
        <v>230</v>
      </c>
      <c r="L551" s="280" t="s">
        <v>1310</v>
      </c>
      <c r="M551" s="273" t="s">
        <v>501</v>
      </c>
    </row>
    <row r="552" spans="2:13" x14ac:dyDescent="0.25">
      <c r="B552" s="273" t="s">
        <v>1696</v>
      </c>
      <c r="C552" s="273" t="s">
        <v>1009</v>
      </c>
      <c r="D552" s="273" t="s">
        <v>1526</v>
      </c>
      <c r="E552" s="273" t="s">
        <v>1629</v>
      </c>
      <c r="F552" s="277" t="s">
        <v>1697</v>
      </c>
      <c r="G552" s="278" t="s">
        <v>559</v>
      </c>
      <c r="H552" s="278">
        <f t="shared" si="15"/>
        <v>48</v>
      </c>
      <c r="I552" s="273">
        <v>3</v>
      </c>
      <c r="J552" s="273">
        <v>39</v>
      </c>
      <c r="K552" s="273">
        <v>120</v>
      </c>
      <c r="L552" s="280" t="s">
        <v>1310</v>
      </c>
      <c r="M552" s="273" t="s">
        <v>501</v>
      </c>
    </row>
    <row r="553" spans="2:13" x14ac:dyDescent="0.25">
      <c r="B553" s="273" t="s">
        <v>1698</v>
      </c>
      <c r="C553" s="273" t="s">
        <v>1009</v>
      </c>
      <c r="D553" s="273" t="s">
        <v>1526</v>
      </c>
      <c r="E553" s="273" t="s">
        <v>1635</v>
      </c>
      <c r="F553" s="277" t="s">
        <v>1699</v>
      </c>
      <c r="G553" s="278" t="s">
        <v>633</v>
      </c>
      <c r="H553" s="278">
        <f t="shared" si="15"/>
        <v>48</v>
      </c>
      <c r="I553" s="273">
        <v>3</v>
      </c>
      <c r="J553" s="273">
        <v>39</v>
      </c>
      <c r="K553" s="273">
        <v>162</v>
      </c>
      <c r="L553" s="280" t="s">
        <v>1310</v>
      </c>
      <c r="M553" s="273" t="s">
        <v>501</v>
      </c>
    </row>
    <row r="554" spans="2:13" x14ac:dyDescent="0.25">
      <c r="B554" s="273" t="s">
        <v>1700</v>
      </c>
      <c r="C554" s="273" t="s">
        <v>1009</v>
      </c>
      <c r="D554" s="273" t="s">
        <v>1526</v>
      </c>
      <c r="E554" s="273" t="s">
        <v>1629</v>
      </c>
      <c r="F554" s="277" t="s">
        <v>1693</v>
      </c>
      <c r="G554" s="278" t="s">
        <v>633</v>
      </c>
      <c r="H554" s="278">
        <f t="shared" si="15"/>
        <v>48</v>
      </c>
      <c r="I554" s="273">
        <v>3</v>
      </c>
      <c r="J554" s="273">
        <v>40</v>
      </c>
      <c r="K554" s="273">
        <v>151</v>
      </c>
      <c r="L554" s="280" t="s">
        <v>1310</v>
      </c>
      <c r="M554" s="273" t="s">
        <v>501</v>
      </c>
    </row>
    <row r="555" spans="2:13" x14ac:dyDescent="0.25">
      <c r="B555" s="273" t="s">
        <v>1701</v>
      </c>
      <c r="C555" s="273" t="s">
        <v>1009</v>
      </c>
      <c r="D555" s="273" t="s">
        <v>1526</v>
      </c>
      <c r="E555" s="273" t="s">
        <v>1647</v>
      </c>
      <c r="F555" s="277" t="s">
        <v>1702</v>
      </c>
      <c r="G555" s="278" t="s">
        <v>633</v>
      </c>
      <c r="H555" s="278">
        <f t="shared" si="15"/>
        <v>48</v>
      </c>
      <c r="I555" s="273">
        <v>3</v>
      </c>
      <c r="J555" s="273">
        <v>110</v>
      </c>
      <c r="K555" s="273">
        <v>377</v>
      </c>
      <c r="L555" s="280" t="s">
        <v>1310</v>
      </c>
      <c r="M555" s="273" t="s">
        <v>501</v>
      </c>
    </row>
    <row r="556" spans="2:13" x14ac:dyDescent="0.25">
      <c r="B556" s="273" t="s">
        <v>1703</v>
      </c>
      <c r="C556" s="273" t="s">
        <v>1009</v>
      </c>
      <c r="D556" s="273" t="s">
        <v>1526</v>
      </c>
      <c r="E556" s="273" t="s">
        <v>1601</v>
      </c>
      <c r="F556" s="277" t="s">
        <v>1704</v>
      </c>
      <c r="G556" s="278" t="s">
        <v>1044</v>
      </c>
      <c r="H556" s="278">
        <f t="shared" si="15"/>
        <v>48</v>
      </c>
      <c r="I556" s="273">
        <v>4</v>
      </c>
      <c r="J556" s="273">
        <v>34</v>
      </c>
      <c r="K556" s="273">
        <v>144</v>
      </c>
      <c r="L556" s="280" t="s">
        <v>543</v>
      </c>
      <c r="M556" s="273" t="s">
        <v>501</v>
      </c>
    </row>
    <row r="557" spans="2:13" x14ac:dyDescent="0.25">
      <c r="B557" s="273" t="s">
        <v>1705</v>
      </c>
      <c r="C557" s="273" t="s">
        <v>1009</v>
      </c>
      <c r="D557" s="273" t="s">
        <v>1526</v>
      </c>
      <c r="E557" s="273" t="s">
        <v>1601</v>
      </c>
      <c r="F557" s="277" t="s">
        <v>1706</v>
      </c>
      <c r="G557" s="278" t="s">
        <v>1044</v>
      </c>
      <c r="H557" s="278">
        <f t="shared" si="15"/>
        <v>48</v>
      </c>
      <c r="I557" s="273">
        <v>4</v>
      </c>
      <c r="J557" s="273">
        <v>34</v>
      </c>
      <c r="K557" s="273">
        <v>152</v>
      </c>
      <c r="L557" s="280" t="s">
        <v>543</v>
      </c>
      <c r="M557" s="273" t="s">
        <v>501</v>
      </c>
    </row>
    <row r="558" spans="2:13" x14ac:dyDescent="0.25">
      <c r="B558" s="273" t="s">
        <v>1707</v>
      </c>
      <c r="C558" s="273" t="s">
        <v>1009</v>
      </c>
      <c r="D558" s="273" t="s">
        <v>1526</v>
      </c>
      <c r="E558" s="273" t="s">
        <v>1608</v>
      </c>
      <c r="F558" s="277" t="s">
        <v>1708</v>
      </c>
      <c r="G558" s="278" t="s">
        <v>633</v>
      </c>
      <c r="H558" s="278">
        <f t="shared" si="15"/>
        <v>48</v>
      </c>
      <c r="I558" s="273">
        <v>4</v>
      </c>
      <c r="J558" s="273">
        <v>55</v>
      </c>
      <c r="K558" s="273">
        <v>270</v>
      </c>
      <c r="L558" s="280" t="s">
        <v>543</v>
      </c>
      <c r="M558" s="273" t="s">
        <v>501</v>
      </c>
    </row>
    <row r="559" spans="2:13" x14ac:dyDescent="0.25">
      <c r="B559" s="273" t="s">
        <v>1709</v>
      </c>
      <c r="C559" s="273" t="s">
        <v>1009</v>
      </c>
      <c r="D559" s="273" t="s">
        <v>1526</v>
      </c>
      <c r="E559" s="273" t="s">
        <v>1611</v>
      </c>
      <c r="F559" s="277" t="s">
        <v>1710</v>
      </c>
      <c r="G559" s="278" t="s">
        <v>633</v>
      </c>
      <c r="H559" s="278">
        <f t="shared" si="15"/>
        <v>48</v>
      </c>
      <c r="I559" s="273">
        <v>4</v>
      </c>
      <c r="J559" s="273">
        <v>30</v>
      </c>
      <c r="K559" s="273">
        <v>164</v>
      </c>
      <c r="L559" s="280" t="s">
        <v>543</v>
      </c>
      <c r="M559" s="273" t="s">
        <v>501</v>
      </c>
    </row>
    <row r="560" spans="2:13" x14ac:dyDescent="0.25">
      <c r="B560" s="273" t="s">
        <v>1711</v>
      </c>
      <c r="C560" s="273" t="s">
        <v>1009</v>
      </c>
      <c r="D560" s="273" t="s">
        <v>1526</v>
      </c>
      <c r="E560" s="273" t="s">
        <v>1601</v>
      </c>
      <c r="F560" s="277" t="s">
        <v>1712</v>
      </c>
      <c r="G560" s="278" t="s">
        <v>559</v>
      </c>
      <c r="H560" s="278">
        <f t="shared" si="15"/>
        <v>48</v>
      </c>
      <c r="I560" s="273">
        <v>4</v>
      </c>
      <c r="J560" s="273">
        <v>34</v>
      </c>
      <c r="K560" s="273">
        <v>120</v>
      </c>
      <c r="L560" s="280" t="s">
        <v>543</v>
      </c>
      <c r="M560" s="273" t="s">
        <v>501</v>
      </c>
    </row>
    <row r="561" spans="2:13" x14ac:dyDescent="0.25">
      <c r="B561" s="273" t="s">
        <v>1713</v>
      </c>
      <c r="C561" s="273" t="s">
        <v>1009</v>
      </c>
      <c r="D561" s="273" t="s">
        <v>1526</v>
      </c>
      <c r="E561" s="273" t="s">
        <v>1601</v>
      </c>
      <c r="F561" s="277" t="s">
        <v>1704</v>
      </c>
      <c r="G561" s="278" t="s">
        <v>633</v>
      </c>
      <c r="H561" s="278">
        <f t="shared" si="15"/>
        <v>48</v>
      </c>
      <c r="I561" s="273">
        <v>4</v>
      </c>
      <c r="J561" s="273">
        <v>34</v>
      </c>
      <c r="K561" s="273">
        <v>160</v>
      </c>
      <c r="L561" s="280" t="s">
        <v>543</v>
      </c>
      <c r="M561" s="273" t="s">
        <v>501</v>
      </c>
    </row>
    <row r="562" spans="2:13" x14ac:dyDescent="0.25">
      <c r="B562" s="273" t="s">
        <v>1714</v>
      </c>
      <c r="C562" s="273" t="s">
        <v>1009</v>
      </c>
      <c r="D562" s="273" t="s">
        <v>1526</v>
      </c>
      <c r="E562" s="273" t="s">
        <v>1619</v>
      </c>
      <c r="F562" s="277" t="s">
        <v>1715</v>
      </c>
      <c r="G562" s="278" t="s">
        <v>633</v>
      </c>
      <c r="H562" s="278">
        <f t="shared" si="15"/>
        <v>48</v>
      </c>
      <c r="I562" s="273">
        <v>4</v>
      </c>
      <c r="J562" s="273"/>
      <c r="K562" s="273">
        <v>420</v>
      </c>
      <c r="L562" s="280" t="s">
        <v>543</v>
      </c>
      <c r="M562" s="273" t="s">
        <v>501</v>
      </c>
    </row>
    <row r="563" spans="2:13" x14ac:dyDescent="0.25">
      <c r="B563" s="273" t="s">
        <v>1716</v>
      </c>
      <c r="C563" s="273" t="s">
        <v>1009</v>
      </c>
      <c r="D563" s="273" t="s">
        <v>1526</v>
      </c>
      <c r="E563" s="273" t="s">
        <v>1622</v>
      </c>
      <c r="F563" s="277" t="s">
        <v>1717</v>
      </c>
      <c r="G563" s="273" t="s">
        <v>559</v>
      </c>
      <c r="H563" s="278">
        <f t="shared" si="15"/>
        <v>48</v>
      </c>
      <c r="I563" s="273">
        <v>4</v>
      </c>
      <c r="J563" s="273">
        <v>25</v>
      </c>
      <c r="K563" s="281">
        <v>80</v>
      </c>
      <c r="L563" s="280" t="s">
        <v>543</v>
      </c>
      <c r="M563" s="273" t="s">
        <v>501</v>
      </c>
    </row>
    <row r="564" spans="2:13" x14ac:dyDescent="0.25">
      <c r="B564" s="273" t="s">
        <v>537</v>
      </c>
      <c r="C564" s="273" t="s">
        <v>1009</v>
      </c>
      <c r="D564" s="273" t="s">
        <v>1526</v>
      </c>
      <c r="E564" s="273" t="s">
        <v>1629</v>
      </c>
      <c r="F564" s="277" t="s">
        <v>1718</v>
      </c>
      <c r="G564" s="278" t="s">
        <v>1044</v>
      </c>
      <c r="H564" s="278">
        <f t="shared" si="15"/>
        <v>48</v>
      </c>
      <c r="I564" s="273">
        <v>4</v>
      </c>
      <c r="J564" s="273">
        <v>40</v>
      </c>
      <c r="K564" s="273">
        <v>172</v>
      </c>
      <c r="L564" s="280" t="s">
        <v>543</v>
      </c>
      <c r="M564" s="273" t="s">
        <v>501</v>
      </c>
    </row>
    <row r="565" spans="2:13" x14ac:dyDescent="0.25">
      <c r="B565" s="273" t="s">
        <v>1719</v>
      </c>
      <c r="C565" s="273" t="s">
        <v>1009</v>
      </c>
      <c r="D565" s="273" t="s">
        <v>1526</v>
      </c>
      <c r="E565" s="273" t="s">
        <v>1632</v>
      </c>
      <c r="F565" s="277" t="s">
        <v>1720</v>
      </c>
      <c r="G565" s="278" t="s">
        <v>633</v>
      </c>
      <c r="H565" s="278">
        <f t="shared" si="15"/>
        <v>48</v>
      </c>
      <c r="I565" s="273">
        <v>4</v>
      </c>
      <c r="J565" s="273">
        <v>60</v>
      </c>
      <c r="K565" s="273">
        <v>290</v>
      </c>
      <c r="L565" s="280" t="s">
        <v>543</v>
      </c>
      <c r="M565" s="273" t="s">
        <v>501</v>
      </c>
    </row>
    <row r="566" spans="2:13" x14ac:dyDescent="0.25">
      <c r="B566" s="273" t="s">
        <v>1721</v>
      </c>
      <c r="C566" s="273" t="s">
        <v>1009</v>
      </c>
      <c r="D566" s="273" t="s">
        <v>1526</v>
      </c>
      <c r="E566" s="273" t="s">
        <v>1635</v>
      </c>
      <c r="F566" s="277" t="s">
        <v>1722</v>
      </c>
      <c r="G566" s="278" t="s">
        <v>559</v>
      </c>
      <c r="H566" s="278">
        <f t="shared" si="15"/>
        <v>48</v>
      </c>
      <c r="I566" s="273">
        <v>4</v>
      </c>
      <c r="J566" s="273">
        <v>39</v>
      </c>
      <c r="K566" s="273">
        <v>148</v>
      </c>
      <c r="L566" s="280" t="s">
        <v>543</v>
      </c>
      <c r="M566" s="273" t="s">
        <v>501</v>
      </c>
    </row>
    <row r="567" spans="2:13" x14ac:dyDescent="0.25">
      <c r="B567" s="273" t="s">
        <v>1723</v>
      </c>
      <c r="C567" s="273" t="s">
        <v>1009</v>
      </c>
      <c r="D567" s="273" t="s">
        <v>1526</v>
      </c>
      <c r="E567" s="273" t="s">
        <v>1635</v>
      </c>
      <c r="F567" s="277" t="s">
        <v>1724</v>
      </c>
      <c r="G567" s="278" t="s">
        <v>633</v>
      </c>
      <c r="H567" s="278">
        <f t="shared" si="15"/>
        <v>48</v>
      </c>
      <c r="I567" s="273">
        <v>4</v>
      </c>
      <c r="J567" s="273">
        <v>39</v>
      </c>
      <c r="K567" s="273">
        <v>204</v>
      </c>
      <c r="L567" s="280" t="s">
        <v>543</v>
      </c>
      <c r="M567" s="273" t="s">
        <v>501</v>
      </c>
    </row>
    <row r="568" spans="2:13" x14ac:dyDescent="0.25">
      <c r="B568" s="273" t="s">
        <v>1725</v>
      </c>
      <c r="C568" s="273" t="s">
        <v>1009</v>
      </c>
      <c r="D568" s="273" t="s">
        <v>1526</v>
      </c>
      <c r="E568" s="273" t="s">
        <v>1629</v>
      </c>
      <c r="F568" s="277" t="s">
        <v>1718</v>
      </c>
      <c r="G568" s="278" t="s">
        <v>633</v>
      </c>
      <c r="H568" s="278">
        <f t="shared" si="15"/>
        <v>48</v>
      </c>
      <c r="I568" s="273">
        <v>4</v>
      </c>
      <c r="J568" s="273">
        <v>40</v>
      </c>
      <c r="K568" s="273">
        <v>188</v>
      </c>
      <c r="L568" s="280" t="s">
        <v>543</v>
      </c>
      <c r="M568" s="273" t="s">
        <v>501</v>
      </c>
    </row>
    <row r="569" spans="2:13" x14ac:dyDescent="0.25">
      <c r="B569" s="273" t="s">
        <v>1726</v>
      </c>
      <c r="C569" s="273" t="s">
        <v>1009</v>
      </c>
      <c r="D569" s="273" t="s">
        <v>1526</v>
      </c>
      <c r="E569" s="273" t="s">
        <v>1647</v>
      </c>
      <c r="F569" s="277" t="s">
        <v>1727</v>
      </c>
      <c r="G569" s="278" t="s">
        <v>633</v>
      </c>
      <c r="H569" s="278">
        <f t="shared" si="15"/>
        <v>48</v>
      </c>
      <c r="I569" s="273">
        <v>4</v>
      </c>
      <c r="J569" s="273">
        <v>110</v>
      </c>
      <c r="K569" s="273">
        <v>484</v>
      </c>
      <c r="L569" s="280" t="s">
        <v>543</v>
      </c>
      <c r="M569" s="273" t="s">
        <v>501</v>
      </c>
    </row>
    <row r="570" spans="2:13" x14ac:dyDescent="0.25">
      <c r="B570" s="273" t="s">
        <v>1728</v>
      </c>
      <c r="C570" s="273" t="s">
        <v>1009</v>
      </c>
      <c r="D570" s="273" t="s">
        <v>1526</v>
      </c>
      <c r="E570" s="273" t="s">
        <v>1601</v>
      </c>
      <c r="F570" s="277" t="s">
        <v>1729</v>
      </c>
      <c r="G570" s="278" t="s">
        <v>1044</v>
      </c>
      <c r="H570" s="278">
        <f t="shared" si="15"/>
        <v>48</v>
      </c>
      <c r="I570" s="273">
        <v>6</v>
      </c>
      <c r="J570" s="273">
        <v>34</v>
      </c>
      <c r="K570" s="273">
        <v>216</v>
      </c>
      <c r="L570" s="280" t="s">
        <v>1378</v>
      </c>
      <c r="M570" s="273" t="s">
        <v>501</v>
      </c>
    </row>
    <row r="571" spans="2:13" x14ac:dyDescent="0.25">
      <c r="B571" s="273" t="s">
        <v>1730</v>
      </c>
      <c r="C571" s="273" t="s">
        <v>1009</v>
      </c>
      <c r="D571" s="273" t="s">
        <v>1526</v>
      </c>
      <c r="E571" s="273" t="s">
        <v>1601</v>
      </c>
      <c r="F571" s="277" t="s">
        <v>1729</v>
      </c>
      <c r="G571" s="278" t="s">
        <v>559</v>
      </c>
      <c r="H571" s="278">
        <f t="shared" si="15"/>
        <v>48</v>
      </c>
      <c r="I571" s="273">
        <v>6</v>
      </c>
      <c r="J571" s="273">
        <v>34</v>
      </c>
      <c r="K571" s="273">
        <v>186</v>
      </c>
      <c r="L571" s="280" t="s">
        <v>1378</v>
      </c>
      <c r="M571" s="273" t="s">
        <v>501</v>
      </c>
    </row>
    <row r="572" spans="2:13" x14ac:dyDescent="0.25">
      <c r="B572" s="273" t="s">
        <v>1731</v>
      </c>
      <c r="C572" s="273" t="s">
        <v>1009</v>
      </c>
      <c r="D572" s="273" t="s">
        <v>1526</v>
      </c>
      <c r="E572" s="273" t="s">
        <v>1601</v>
      </c>
      <c r="F572" s="277" t="s">
        <v>1729</v>
      </c>
      <c r="G572" s="278" t="s">
        <v>633</v>
      </c>
      <c r="H572" s="278">
        <f t="shared" si="15"/>
        <v>48</v>
      </c>
      <c r="I572" s="273">
        <v>6</v>
      </c>
      <c r="J572" s="273">
        <v>34</v>
      </c>
      <c r="K572" s="273">
        <v>236</v>
      </c>
      <c r="L572" s="280" t="s">
        <v>1378</v>
      </c>
      <c r="M572" s="273" t="s">
        <v>501</v>
      </c>
    </row>
    <row r="573" spans="2:13" x14ac:dyDescent="0.25">
      <c r="B573" s="273" t="s">
        <v>1732</v>
      </c>
      <c r="C573" s="273" t="s">
        <v>1009</v>
      </c>
      <c r="D573" s="273" t="s">
        <v>1526</v>
      </c>
      <c r="E573" s="273" t="s">
        <v>1608</v>
      </c>
      <c r="F573" s="277" t="s">
        <v>1733</v>
      </c>
      <c r="G573" s="273" t="s">
        <v>633</v>
      </c>
      <c r="H573" s="278">
        <f t="shared" si="15"/>
        <v>48</v>
      </c>
      <c r="I573" s="273">
        <v>6</v>
      </c>
      <c r="J573" s="273">
        <v>55</v>
      </c>
      <c r="K573" s="273">
        <v>405</v>
      </c>
      <c r="L573" s="280" t="s">
        <v>1378</v>
      </c>
      <c r="M573" s="273" t="s">
        <v>501</v>
      </c>
    </row>
    <row r="574" spans="2:13" x14ac:dyDescent="0.25">
      <c r="B574" s="273" t="s">
        <v>1734</v>
      </c>
      <c r="C574" s="273" t="s">
        <v>1009</v>
      </c>
      <c r="D574" s="273" t="s">
        <v>1526</v>
      </c>
      <c r="E574" s="273" t="s">
        <v>1629</v>
      </c>
      <c r="F574" s="277" t="s">
        <v>1735</v>
      </c>
      <c r="G574" s="278" t="s">
        <v>1044</v>
      </c>
      <c r="H574" s="278">
        <f t="shared" si="15"/>
        <v>48</v>
      </c>
      <c r="I574" s="273">
        <v>6</v>
      </c>
      <c r="J574" s="273">
        <v>40</v>
      </c>
      <c r="K574" s="273">
        <v>258</v>
      </c>
      <c r="L574" s="280" t="s">
        <v>1378</v>
      </c>
      <c r="M574" s="273" t="s">
        <v>501</v>
      </c>
    </row>
    <row r="575" spans="2:13" x14ac:dyDescent="0.25">
      <c r="B575" s="273" t="s">
        <v>1736</v>
      </c>
      <c r="C575" s="273" t="s">
        <v>1009</v>
      </c>
      <c r="D575" s="273" t="s">
        <v>1526</v>
      </c>
      <c r="E575" s="273" t="s">
        <v>1629</v>
      </c>
      <c r="F575" s="277" t="s">
        <v>1735</v>
      </c>
      <c r="G575" s="278" t="s">
        <v>633</v>
      </c>
      <c r="H575" s="278">
        <f t="shared" si="15"/>
        <v>48</v>
      </c>
      <c r="I575" s="273">
        <v>6</v>
      </c>
      <c r="J575" s="273">
        <v>40</v>
      </c>
      <c r="K575" s="273">
        <v>282</v>
      </c>
      <c r="L575" s="280" t="s">
        <v>1378</v>
      </c>
      <c r="M575" s="273" t="s">
        <v>501</v>
      </c>
    </row>
    <row r="576" spans="2:13" x14ac:dyDescent="0.25">
      <c r="B576" s="273" t="s">
        <v>1737</v>
      </c>
      <c r="C576" s="273" t="s">
        <v>1009</v>
      </c>
      <c r="D576" s="273" t="s">
        <v>1526</v>
      </c>
      <c r="E576" s="273" t="s">
        <v>1601</v>
      </c>
      <c r="F576" s="277" t="s">
        <v>1738</v>
      </c>
      <c r="G576" s="278" t="s">
        <v>1044</v>
      </c>
      <c r="H576" s="278">
        <f t="shared" si="15"/>
        <v>48</v>
      </c>
      <c r="I576" s="273">
        <v>8</v>
      </c>
      <c r="J576" s="273">
        <v>34</v>
      </c>
      <c r="K576" s="273">
        <v>288</v>
      </c>
      <c r="L576" s="280" t="s">
        <v>1392</v>
      </c>
      <c r="M576" s="273" t="s">
        <v>501</v>
      </c>
    </row>
    <row r="577" spans="2:13" x14ac:dyDescent="0.25">
      <c r="B577" s="273" t="s">
        <v>1739</v>
      </c>
      <c r="C577" s="273" t="s">
        <v>1009</v>
      </c>
      <c r="D577" s="273" t="s">
        <v>1526</v>
      </c>
      <c r="E577" s="273" t="s">
        <v>1608</v>
      </c>
      <c r="F577" s="277" t="s">
        <v>1740</v>
      </c>
      <c r="G577" s="273" t="s">
        <v>633</v>
      </c>
      <c r="H577" s="278">
        <f t="shared" si="15"/>
        <v>48</v>
      </c>
      <c r="I577" s="273">
        <v>8</v>
      </c>
      <c r="J577" s="273">
        <v>55</v>
      </c>
      <c r="K577" s="273">
        <v>540</v>
      </c>
      <c r="L577" s="280" t="s">
        <v>1392</v>
      </c>
      <c r="M577" s="273" t="s">
        <v>501</v>
      </c>
    </row>
    <row r="578" spans="2:13" x14ac:dyDescent="0.25">
      <c r="B578" s="273" t="s">
        <v>1741</v>
      </c>
      <c r="C578" s="273" t="s">
        <v>1009</v>
      </c>
      <c r="D578" s="273" t="s">
        <v>1010</v>
      </c>
      <c r="E578" s="273" t="s">
        <v>2946</v>
      </c>
      <c r="F578" s="277" t="s">
        <v>1743</v>
      </c>
      <c r="G578" s="278" t="s">
        <v>559</v>
      </c>
      <c r="H578" s="278">
        <f t="shared" si="15"/>
        <v>60</v>
      </c>
      <c r="I578" s="273">
        <v>1</v>
      </c>
      <c r="J578" s="273">
        <v>55</v>
      </c>
      <c r="K578" s="273">
        <v>59</v>
      </c>
      <c r="L578" s="273" t="s">
        <v>560</v>
      </c>
      <c r="M578" s="273" t="s">
        <v>501</v>
      </c>
    </row>
    <row r="579" spans="2:13" x14ac:dyDescent="0.25">
      <c r="B579" s="273" t="s">
        <v>1744</v>
      </c>
      <c r="C579" s="273" t="s">
        <v>1009</v>
      </c>
      <c r="D579" s="273" t="s">
        <v>1526</v>
      </c>
      <c r="E579" s="273" t="s">
        <v>1742</v>
      </c>
      <c r="F579" s="277" t="s">
        <v>1745</v>
      </c>
      <c r="G579" s="278" t="s">
        <v>1044</v>
      </c>
      <c r="H579" s="278">
        <f t="shared" si="15"/>
        <v>60</v>
      </c>
      <c r="I579" s="273">
        <v>1</v>
      </c>
      <c r="J579" s="273">
        <v>75</v>
      </c>
      <c r="K579" s="273">
        <v>88</v>
      </c>
      <c r="L579" s="280" t="s">
        <v>1404</v>
      </c>
      <c r="M579" s="273" t="s">
        <v>501</v>
      </c>
    </row>
    <row r="580" spans="2:13" x14ac:dyDescent="0.25">
      <c r="B580" s="273" t="s">
        <v>1746</v>
      </c>
      <c r="C580" s="273" t="s">
        <v>1009</v>
      </c>
      <c r="D580" s="273" t="s">
        <v>1526</v>
      </c>
      <c r="E580" s="273" t="s">
        <v>1742</v>
      </c>
      <c r="F580" s="277" t="s">
        <v>1745</v>
      </c>
      <c r="G580" s="278" t="s">
        <v>559</v>
      </c>
      <c r="H580" s="278">
        <f t="shared" si="15"/>
        <v>60</v>
      </c>
      <c r="I580" s="273">
        <v>1</v>
      </c>
      <c r="J580" s="273">
        <v>75</v>
      </c>
      <c r="K580" s="273">
        <v>69</v>
      </c>
      <c r="L580" s="280" t="s">
        <v>1404</v>
      </c>
      <c r="M580" s="273" t="s">
        <v>501</v>
      </c>
    </row>
    <row r="581" spans="2:13" x14ac:dyDescent="0.25">
      <c r="B581" s="273" t="s">
        <v>1747</v>
      </c>
      <c r="C581" s="273" t="s">
        <v>1009</v>
      </c>
      <c r="D581" s="273" t="s">
        <v>1526</v>
      </c>
      <c r="E581" s="273" t="s">
        <v>1742</v>
      </c>
      <c r="F581" s="277" t="s">
        <v>1745</v>
      </c>
      <c r="G581" s="278" t="s">
        <v>633</v>
      </c>
      <c r="H581" s="278">
        <f t="shared" si="15"/>
        <v>60</v>
      </c>
      <c r="I581" s="273">
        <v>1</v>
      </c>
      <c r="J581" s="273">
        <v>75</v>
      </c>
      <c r="K581" s="273">
        <v>92</v>
      </c>
      <c r="L581" s="280" t="s">
        <v>1404</v>
      </c>
      <c r="M581" s="273" t="s">
        <v>501</v>
      </c>
    </row>
    <row r="582" spans="2:13" x14ac:dyDescent="0.25">
      <c r="B582" s="273" t="s">
        <v>1748</v>
      </c>
      <c r="C582" s="273" t="s">
        <v>1009</v>
      </c>
      <c r="D582" s="273" t="s">
        <v>1526</v>
      </c>
      <c r="E582" s="273" t="s">
        <v>1749</v>
      </c>
      <c r="F582" s="277" t="s">
        <v>1750</v>
      </c>
      <c r="G582" s="278" t="s">
        <v>559</v>
      </c>
      <c r="H582" s="278">
        <f t="shared" si="15"/>
        <v>60</v>
      </c>
      <c r="I582" s="273">
        <v>1</v>
      </c>
      <c r="J582" s="273">
        <v>50</v>
      </c>
      <c r="K582" s="273">
        <v>44</v>
      </c>
      <c r="L582" s="280" t="s">
        <v>1404</v>
      </c>
      <c r="M582" s="273" t="s">
        <v>501</v>
      </c>
    </row>
    <row r="583" spans="2:13" x14ac:dyDescent="0.25">
      <c r="B583" s="273" t="s">
        <v>1751</v>
      </c>
      <c r="C583" s="273" t="s">
        <v>1009</v>
      </c>
      <c r="D583" s="273" t="s">
        <v>1526</v>
      </c>
      <c r="E583" s="273" t="s">
        <v>1749</v>
      </c>
      <c r="F583" s="277" t="s">
        <v>1750</v>
      </c>
      <c r="G583" s="278" t="s">
        <v>633</v>
      </c>
      <c r="H583" s="278">
        <f t="shared" si="15"/>
        <v>60</v>
      </c>
      <c r="I583" s="273">
        <v>1</v>
      </c>
      <c r="J583" s="273">
        <v>50</v>
      </c>
      <c r="K583" s="273">
        <v>63</v>
      </c>
      <c r="L583" s="280" t="s">
        <v>1404</v>
      </c>
      <c r="M583" s="273" t="s">
        <v>501</v>
      </c>
    </row>
    <row r="584" spans="2:13" x14ac:dyDescent="0.25">
      <c r="B584" s="273" t="s">
        <v>1752</v>
      </c>
      <c r="C584" s="273" t="s">
        <v>1009</v>
      </c>
      <c r="D584" s="273" t="s">
        <v>1526</v>
      </c>
      <c r="E584" s="273" t="s">
        <v>1753</v>
      </c>
      <c r="F584" s="277" t="s">
        <v>1754</v>
      </c>
      <c r="G584" s="278" t="s">
        <v>633</v>
      </c>
      <c r="H584" s="278">
        <f t="shared" si="15"/>
        <v>60</v>
      </c>
      <c r="I584" s="273">
        <v>1</v>
      </c>
      <c r="J584" s="273">
        <v>135</v>
      </c>
      <c r="K584" s="273">
        <v>165</v>
      </c>
      <c r="L584" s="280" t="s">
        <v>1404</v>
      </c>
      <c r="M584" s="273" t="s">
        <v>501</v>
      </c>
    </row>
    <row r="585" spans="2:13" x14ac:dyDescent="0.25">
      <c r="B585" s="273" t="s">
        <v>1755</v>
      </c>
      <c r="C585" s="273" t="s">
        <v>1009</v>
      </c>
      <c r="D585" s="273" t="s">
        <v>1010</v>
      </c>
      <c r="E585" s="273" t="s">
        <v>2946</v>
      </c>
      <c r="F585" s="277" t="s">
        <v>1756</v>
      </c>
      <c r="G585" s="278" t="s">
        <v>559</v>
      </c>
      <c r="H585" s="278">
        <f t="shared" si="15"/>
        <v>60</v>
      </c>
      <c r="I585" s="273">
        <v>2</v>
      </c>
      <c r="J585" s="273">
        <v>55</v>
      </c>
      <c r="K585" s="273">
        <v>123</v>
      </c>
      <c r="L585" s="273" t="s">
        <v>560</v>
      </c>
      <c r="M585" s="273" t="s">
        <v>501</v>
      </c>
    </row>
    <row r="586" spans="2:13" x14ac:dyDescent="0.25">
      <c r="B586" s="273" t="s">
        <v>1757</v>
      </c>
      <c r="C586" s="273" t="s">
        <v>1009</v>
      </c>
      <c r="D586" s="273" t="s">
        <v>1526</v>
      </c>
      <c r="E586" s="273" t="s">
        <v>1742</v>
      </c>
      <c r="F586" s="277" t="s">
        <v>1758</v>
      </c>
      <c r="G586" s="278" t="s">
        <v>1044</v>
      </c>
      <c r="H586" s="278">
        <f t="shared" si="15"/>
        <v>60</v>
      </c>
      <c r="I586" s="273">
        <v>2</v>
      </c>
      <c r="J586" s="273">
        <v>75</v>
      </c>
      <c r="K586" s="273">
        <v>176</v>
      </c>
      <c r="L586" s="280" t="s">
        <v>1415</v>
      </c>
      <c r="M586" s="273" t="s">
        <v>501</v>
      </c>
    </row>
    <row r="587" spans="2:13" x14ac:dyDescent="0.25">
      <c r="B587" s="273" t="s">
        <v>1759</v>
      </c>
      <c r="C587" s="273" t="s">
        <v>1009</v>
      </c>
      <c r="D587" s="273" t="s">
        <v>1526</v>
      </c>
      <c r="E587" s="273" t="s">
        <v>1742</v>
      </c>
      <c r="F587" s="277" t="s">
        <v>1758</v>
      </c>
      <c r="G587" s="278" t="s">
        <v>559</v>
      </c>
      <c r="H587" s="278">
        <f t="shared" si="15"/>
        <v>60</v>
      </c>
      <c r="I587" s="273">
        <v>2</v>
      </c>
      <c r="J587" s="273">
        <v>75</v>
      </c>
      <c r="K587" s="273">
        <v>138</v>
      </c>
      <c r="L587" s="280" t="s">
        <v>1415</v>
      </c>
      <c r="M587" s="273" t="s">
        <v>501</v>
      </c>
    </row>
    <row r="588" spans="2:13" x14ac:dyDescent="0.25">
      <c r="B588" s="273" t="s">
        <v>1760</v>
      </c>
      <c r="C588" s="273" t="s">
        <v>1009</v>
      </c>
      <c r="D588" s="273" t="s">
        <v>1526</v>
      </c>
      <c r="E588" s="273" t="s">
        <v>1742</v>
      </c>
      <c r="F588" s="277" t="s">
        <v>1758</v>
      </c>
      <c r="G588" s="278" t="s">
        <v>633</v>
      </c>
      <c r="H588" s="278">
        <f t="shared" si="15"/>
        <v>60</v>
      </c>
      <c r="I588" s="273">
        <v>2</v>
      </c>
      <c r="J588" s="273">
        <v>75</v>
      </c>
      <c r="K588" s="273">
        <v>168</v>
      </c>
      <c r="L588" s="280" t="s">
        <v>1415</v>
      </c>
      <c r="M588" s="273" t="s">
        <v>501</v>
      </c>
    </row>
    <row r="589" spans="2:13" x14ac:dyDescent="0.25">
      <c r="B589" s="273" t="s">
        <v>1761</v>
      </c>
      <c r="C589" s="273" t="s">
        <v>1009</v>
      </c>
      <c r="D589" s="273" t="s">
        <v>1526</v>
      </c>
      <c r="E589" s="273" t="s">
        <v>1749</v>
      </c>
      <c r="F589" s="277" t="s">
        <v>1762</v>
      </c>
      <c r="G589" s="278" t="s">
        <v>559</v>
      </c>
      <c r="H589" s="278">
        <f t="shared" si="15"/>
        <v>60</v>
      </c>
      <c r="I589" s="273">
        <v>2</v>
      </c>
      <c r="J589" s="273">
        <v>50</v>
      </c>
      <c r="K589" s="273">
        <v>88</v>
      </c>
      <c r="L589" s="280" t="s">
        <v>1415</v>
      </c>
      <c r="M589" s="273" t="s">
        <v>501</v>
      </c>
    </row>
    <row r="590" spans="2:13" x14ac:dyDescent="0.25">
      <c r="B590" s="273" t="s">
        <v>1763</v>
      </c>
      <c r="C590" s="273" t="s">
        <v>1009</v>
      </c>
      <c r="D590" s="273" t="s">
        <v>1526</v>
      </c>
      <c r="E590" s="273" t="s">
        <v>1749</v>
      </c>
      <c r="F590" s="277" t="s">
        <v>1762</v>
      </c>
      <c r="G590" s="278" t="s">
        <v>633</v>
      </c>
      <c r="H590" s="278">
        <f t="shared" si="15"/>
        <v>60</v>
      </c>
      <c r="I590" s="273">
        <v>2</v>
      </c>
      <c r="J590" s="273">
        <v>50</v>
      </c>
      <c r="K590" s="273">
        <v>128</v>
      </c>
      <c r="L590" s="280" t="s">
        <v>1415</v>
      </c>
      <c r="M590" s="273" t="s">
        <v>501</v>
      </c>
    </row>
    <row r="591" spans="2:13" x14ac:dyDescent="0.25">
      <c r="B591" s="273" t="s">
        <v>1764</v>
      </c>
      <c r="C591" s="273" t="s">
        <v>1009</v>
      </c>
      <c r="D591" s="273" t="s">
        <v>1526</v>
      </c>
      <c r="E591" s="273" t="s">
        <v>1753</v>
      </c>
      <c r="F591" s="277" t="s">
        <v>1765</v>
      </c>
      <c r="G591" s="278" t="s">
        <v>633</v>
      </c>
      <c r="H591" s="278">
        <f t="shared" ref="H591:H654" si="16">MID(B591,2,1)*12</f>
        <v>60</v>
      </c>
      <c r="I591" s="273">
        <v>2</v>
      </c>
      <c r="J591" s="273">
        <v>135</v>
      </c>
      <c r="K591" s="273">
        <v>310</v>
      </c>
      <c r="L591" s="280" t="s">
        <v>1415</v>
      </c>
      <c r="M591" s="273" t="s">
        <v>501</v>
      </c>
    </row>
    <row r="592" spans="2:13" x14ac:dyDescent="0.25">
      <c r="B592" s="273" t="s">
        <v>1766</v>
      </c>
      <c r="C592" s="273" t="s">
        <v>1009</v>
      </c>
      <c r="D592" s="273" t="s">
        <v>1526</v>
      </c>
      <c r="E592" s="273" t="s">
        <v>1767</v>
      </c>
      <c r="F592" s="277" t="s">
        <v>1768</v>
      </c>
      <c r="G592" s="278" t="s">
        <v>559</v>
      </c>
      <c r="H592" s="278">
        <f t="shared" si="16"/>
        <v>72</v>
      </c>
      <c r="I592" s="273">
        <v>1</v>
      </c>
      <c r="J592" s="273">
        <v>55</v>
      </c>
      <c r="K592" s="273">
        <v>68</v>
      </c>
      <c r="L592" s="280" t="s">
        <v>2929</v>
      </c>
      <c r="M592" s="273" t="s">
        <v>501</v>
      </c>
    </row>
    <row r="593" spans="2:13" x14ac:dyDescent="0.25">
      <c r="B593" s="273" t="s">
        <v>1769</v>
      </c>
      <c r="C593" s="273" t="s">
        <v>1009</v>
      </c>
      <c r="D593" s="273" t="s">
        <v>1526</v>
      </c>
      <c r="E593" s="273" t="s">
        <v>1767</v>
      </c>
      <c r="F593" s="277" t="s">
        <v>1770</v>
      </c>
      <c r="G593" s="278" t="s">
        <v>1044</v>
      </c>
      <c r="H593" s="278">
        <f t="shared" si="16"/>
        <v>72</v>
      </c>
      <c r="I593" s="273">
        <v>1</v>
      </c>
      <c r="J593" s="273">
        <v>55</v>
      </c>
      <c r="K593" s="273">
        <v>76</v>
      </c>
      <c r="L593" s="280" t="s">
        <v>2929</v>
      </c>
      <c r="M593" s="273" t="s">
        <v>501</v>
      </c>
    </row>
    <row r="594" spans="2:13" x14ac:dyDescent="0.25">
      <c r="B594" s="273" t="s">
        <v>1771</v>
      </c>
      <c r="C594" s="273" t="s">
        <v>1009</v>
      </c>
      <c r="D594" s="273" t="s">
        <v>1526</v>
      </c>
      <c r="E594" s="273" t="s">
        <v>1772</v>
      </c>
      <c r="F594" s="277" t="s">
        <v>1773</v>
      </c>
      <c r="G594" s="278" t="s">
        <v>633</v>
      </c>
      <c r="H594" s="278">
        <f t="shared" si="16"/>
        <v>72</v>
      </c>
      <c r="I594" s="273">
        <v>1</v>
      </c>
      <c r="J594" s="273">
        <v>85</v>
      </c>
      <c r="K594" s="273">
        <v>120</v>
      </c>
      <c r="L594" s="280" t="s">
        <v>2929</v>
      </c>
      <c r="M594" s="273" t="s">
        <v>501</v>
      </c>
    </row>
    <row r="595" spans="2:13" x14ac:dyDescent="0.25">
      <c r="B595" s="273" t="s">
        <v>1774</v>
      </c>
      <c r="C595" s="273" t="s">
        <v>1009</v>
      </c>
      <c r="D595" s="273" t="s">
        <v>1526</v>
      </c>
      <c r="E595" s="273" t="s">
        <v>1767</v>
      </c>
      <c r="F595" s="277" t="s">
        <v>1770</v>
      </c>
      <c r="G595" s="278" t="s">
        <v>633</v>
      </c>
      <c r="H595" s="278">
        <f t="shared" si="16"/>
        <v>72</v>
      </c>
      <c r="I595" s="273">
        <v>1</v>
      </c>
      <c r="J595" s="273">
        <v>55</v>
      </c>
      <c r="K595" s="273">
        <v>90</v>
      </c>
      <c r="L595" s="280" t="s">
        <v>2929</v>
      </c>
      <c r="M595" s="273" t="s">
        <v>501</v>
      </c>
    </row>
    <row r="596" spans="2:13" x14ac:dyDescent="0.25">
      <c r="B596" s="273" t="s">
        <v>1775</v>
      </c>
      <c r="C596" s="273" t="s">
        <v>1009</v>
      </c>
      <c r="D596" s="273" t="s">
        <v>1526</v>
      </c>
      <c r="E596" s="273" t="s">
        <v>1776</v>
      </c>
      <c r="F596" s="277" t="s">
        <v>1777</v>
      </c>
      <c r="G596" s="278" t="s">
        <v>633</v>
      </c>
      <c r="H596" s="278">
        <f t="shared" si="16"/>
        <v>72</v>
      </c>
      <c r="I596" s="273">
        <v>1</v>
      </c>
      <c r="J596" s="273">
        <v>160</v>
      </c>
      <c r="K596" s="273">
        <v>180</v>
      </c>
      <c r="L596" s="280" t="s">
        <v>2929</v>
      </c>
      <c r="M596" s="273" t="s">
        <v>501</v>
      </c>
    </row>
    <row r="597" spans="2:13" x14ac:dyDescent="0.25">
      <c r="B597" s="273" t="s">
        <v>1778</v>
      </c>
      <c r="C597" s="273" t="s">
        <v>1009</v>
      </c>
      <c r="D597" s="273" t="s">
        <v>1526</v>
      </c>
      <c r="E597" s="273" t="s">
        <v>1767</v>
      </c>
      <c r="F597" s="277" t="s">
        <v>1779</v>
      </c>
      <c r="G597" s="278" t="s">
        <v>559</v>
      </c>
      <c r="H597" s="278">
        <f t="shared" si="16"/>
        <v>72</v>
      </c>
      <c r="I597" s="273">
        <v>2</v>
      </c>
      <c r="J597" s="273">
        <v>55</v>
      </c>
      <c r="K597" s="273">
        <v>108</v>
      </c>
      <c r="L597" s="280" t="s">
        <v>2937</v>
      </c>
      <c r="M597" s="273" t="s">
        <v>501</v>
      </c>
    </row>
    <row r="598" spans="2:13" x14ac:dyDescent="0.25">
      <c r="B598" s="273" t="s">
        <v>1780</v>
      </c>
      <c r="C598" s="273" t="s">
        <v>1009</v>
      </c>
      <c r="D598" s="273" t="s">
        <v>1526</v>
      </c>
      <c r="E598" s="273" t="s">
        <v>1767</v>
      </c>
      <c r="F598" s="277" t="s">
        <v>1781</v>
      </c>
      <c r="G598" s="278" t="s">
        <v>1044</v>
      </c>
      <c r="H598" s="278">
        <f t="shared" si="16"/>
        <v>72</v>
      </c>
      <c r="I598" s="273">
        <v>2</v>
      </c>
      <c r="J598" s="273">
        <v>55</v>
      </c>
      <c r="K598" s="273">
        <v>122</v>
      </c>
      <c r="L598" s="280" t="s">
        <v>2937</v>
      </c>
      <c r="M598" s="273" t="s">
        <v>501</v>
      </c>
    </row>
    <row r="599" spans="2:13" x14ac:dyDescent="0.25">
      <c r="B599" s="273" t="s">
        <v>1782</v>
      </c>
      <c r="C599" s="273" t="s">
        <v>1009</v>
      </c>
      <c r="D599" s="273" t="s">
        <v>1526</v>
      </c>
      <c r="E599" s="273" t="s">
        <v>1772</v>
      </c>
      <c r="F599" s="277" t="s">
        <v>1783</v>
      </c>
      <c r="G599" s="278" t="s">
        <v>1044</v>
      </c>
      <c r="H599" s="278">
        <f t="shared" si="16"/>
        <v>72</v>
      </c>
      <c r="I599" s="273">
        <v>2</v>
      </c>
      <c r="J599" s="273">
        <v>85</v>
      </c>
      <c r="K599" s="273">
        <v>194</v>
      </c>
      <c r="L599" s="280" t="s">
        <v>2937</v>
      </c>
      <c r="M599" s="273" t="s">
        <v>501</v>
      </c>
    </row>
    <row r="600" spans="2:13" x14ac:dyDescent="0.25">
      <c r="B600" s="273" t="s">
        <v>1784</v>
      </c>
      <c r="C600" s="273" t="s">
        <v>1009</v>
      </c>
      <c r="D600" s="273" t="s">
        <v>1526</v>
      </c>
      <c r="E600" s="273" t="s">
        <v>1772</v>
      </c>
      <c r="F600" s="277" t="s">
        <v>1783</v>
      </c>
      <c r="G600" s="278" t="s">
        <v>633</v>
      </c>
      <c r="H600" s="278">
        <f t="shared" si="16"/>
        <v>72</v>
      </c>
      <c r="I600" s="273">
        <v>2</v>
      </c>
      <c r="J600" s="273">
        <v>85</v>
      </c>
      <c r="K600" s="273">
        <v>220</v>
      </c>
      <c r="L600" s="280" t="s">
        <v>2937</v>
      </c>
      <c r="M600" s="273" t="s">
        <v>501</v>
      </c>
    </row>
    <row r="601" spans="2:13" x14ac:dyDescent="0.25">
      <c r="B601" s="273" t="s">
        <v>1785</v>
      </c>
      <c r="C601" s="273" t="s">
        <v>1009</v>
      </c>
      <c r="D601" s="273" t="s">
        <v>1526</v>
      </c>
      <c r="E601" s="273" t="s">
        <v>1767</v>
      </c>
      <c r="F601" s="277" t="s">
        <v>1781</v>
      </c>
      <c r="G601" s="278" t="s">
        <v>559</v>
      </c>
      <c r="H601" s="278">
        <f t="shared" si="16"/>
        <v>72</v>
      </c>
      <c r="I601" s="273">
        <v>2</v>
      </c>
      <c r="J601" s="273">
        <v>55</v>
      </c>
      <c r="K601" s="273">
        <v>108</v>
      </c>
      <c r="L601" s="280" t="s">
        <v>2937</v>
      </c>
      <c r="M601" s="273" t="s">
        <v>501</v>
      </c>
    </row>
    <row r="602" spans="2:13" x14ac:dyDescent="0.25">
      <c r="B602" s="273" t="s">
        <v>1786</v>
      </c>
      <c r="C602" s="273" t="s">
        <v>1009</v>
      </c>
      <c r="D602" s="273" t="s">
        <v>1526</v>
      </c>
      <c r="E602" s="273" t="s">
        <v>1767</v>
      </c>
      <c r="F602" s="277" t="s">
        <v>1781</v>
      </c>
      <c r="G602" s="278" t="s">
        <v>633</v>
      </c>
      <c r="H602" s="278">
        <f t="shared" si="16"/>
        <v>72</v>
      </c>
      <c r="I602" s="273">
        <v>2</v>
      </c>
      <c r="J602" s="273">
        <v>55</v>
      </c>
      <c r="K602" s="273">
        <v>145</v>
      </c>
      <c r="L602" s="280" t="s">
        <v>2937</v>
      </c>
      <c r="M602" s="273" t="s">
        <v>501</v>
      </c>
    </row>
    <row r="603" spans="2:13" x14ac:dyDescent="0.25">
      <c r="B603" s="273" t="s">
        <v>1787</v>
      </c>
      <c r="C603" s="273" t="s">
        <v>1009</v>
      </c>
      <c r="D603" s="273" t="s">
        <v>1526</v>
      </c>
      <c r="E603" s="273" t="s">
        <v>1776</v>
      </c>
      <c r="F603" s="277" t="s">
        <v>1788</v>
      </c>
      <c r="G603" s="278" t="s">
        <v>633</v>
      </c>
      <c r="H603" s="278">
        <f t="shared" si="16"/>
        <v>72</v>
      </c>
      <c r="I603" s="273">
        <v>2</v>
      </c>
      <c r="J603" s="273">
        <v>160</v>
      </c>
      <c r="K603" s="273">
        <v>330</v>
      </c>
      <c r="L603" s="280" t="s">
        <v>2937</v>
      </c>
      <c r="M603" s="273" t="s">
        <v>501</v>
      </c>
    </row>
    <row r="604" spans="2:13" x14ac:dyDescent="0.25">
      <c r="B604" s="273" t="s">
        <v>1789</v>
      </c>
      <c r="C604" s="273" t="s">
        <v>1009</v>
      </c>
      <c r="D604" s="273" t="s">
        <v>1526</v>
      </c>
      <c r="E604" s="273" t="s">
        <v>1767</v>
      </c>
      <c r="F604" s="277" t="s">
        <v>1790</v>
      </c>
      <c r="G604" s="278" t="s">
        <v>559</v>
      </c>
      <c r="H604" s="278">
        <f t="shared" si="16"/>
        <v>72</v>
      </c>
      <c r="I604" s="273">
        <v>3</v>
      </c>
      <c r="J604" s="273">
        <v>55</v>
      </c>
      <c r="K604" s="273">
        <v>176</v>
      </c>
      <c r="L604" s="280" t="s">
        <v>2930</v>
      </c>
      <c r="M604" s="273" t="s">
        <v>501</v>
      </c>
    </row>
    <row r="605" spans="2:13" x14ac:dyDescent="0.25">
      <c r="B605" s="273" t="s">
        <v>1791</v>
      </c>
      <c r="C605" s="273" t="s">
        <v>1009</v>
      </c>
      <c r="D605" s="273" t="s">
        <v>1526</v>
      </c>
      <c r="E605" s="273" t="s">
        <v>1767</v>
      </c>
      <c r="F605" s="277" t="s">
        <v>1792</v>
      </c>
      <c r="G605" s="278" t="s">
        <v>633</v>
      </c>
      <c r="H605" s="278">
        <f t="shared" si="16"/>
        <v>72</v>
      </c>
      <c r="I605" s="273">
        <v>3</v>
      </c>
      <c r="J605" s="273">
        <v>55</v>
      </c>
      <c r="K605" s="273">
        <v>202</v>
      </c>
      <c r="L605" s="280" t="s">
        <v>2930</v>
      </c>
      <c r="M605" s="273" t="s">
        <v>501</v>
      </c>
    </row>
    <row r="606" spans="2:13" x14ac:dyDescent="0.25">
      <c r="B606" s="273" t="s">
        <v>1793</v>
      </c>
      <c r="C606" s="273" t="s">
        <v>1009</v>
      </c>
      <c r="D606" s="273" t="s">
        <v>1526</v>
      </c>
      <c r="E606" s="273" t="s">
        <v>1767</v>
      </c>
      <c r="F606" s="277" t="s">
        <v>1794</v>
      </c>
      <c r="G606" s="278" t="s">
        <v>559</v>
      </c>
      <c r="H606" s="278">
        <f t="shared" si="16"/>
        <v>72</v>
      </c>
      <c r="I606" s="273">
        <v>4</v>
      </c>
      <c r="J606" s="273">
        <v>55</v>
      </c>
      <c r="K606" s="273">
        <v>216</v>
      </c>
      <c r="L606" s="280" t="s">
        <v>2931</v>
      </c>
      <c r="M606" s="273" t="s">
        <v>501</v>
      </c>
    </row>
    <row r="607" spans="2:13" x14ac:dyDescent="0.25">
      <c r="B607" s="273" t="s">
        <v>1795</v>
      </c>
      <c r="C607" s="273" t="s">
        <v>1009</v>
      </c>
      <c r="D607" s="273" t="s">
        <v>1526</v>
      </c>
      <c r="E607" s="273" t="s">
        <v>1767</v>
      </c>
      <c r="F607" s="277" t="s">
        <v>1796</v>
      </c>
      <c r="G607" s="278" t="s">
        <v>1044</v>
      </c>
      <c r="H607" s="278">
        <f t="shared" si="16"/>
        <v>72</v>
      </c>
      <c r="I607" s="273">
        <v>4</v>
      </c>
      <c r="J607" s="273">
        <v>55</v>
      </c>
      <c r="K607" s="273">
        <v>230</v>
      </c>
      <c r="L607" s="280" t="s">
        <v>2931</v>
      </c>
      <c r="M607" s="273" t="s">
        <v>501</v>
      </c>
    </row>
    <row r="608" spans="2:13" x14ac:dyDescent="0.25">
      <c r="B608" s="273" t="s">
        <v>1797</v>
      </c>
      <c r="C608" s="273" t="s">
        <v>1009</v>
      </c>
      <c r="D608" s="273" t="s">
        <v>1526</v>
      </c>
      <c r="E608" s="273" t="s">
        <v>1772</v>
      </c>
      <c r="F608" s="277" t="s">
        <v>1798</v>
      </c>
      <c r="G608" s="278" t="s">
        <v>1044</v>
      </c>
      <c r="H608" s="278">
        <f t="shared" si="16"/>
        <v>72</v>
      </c>
      <c r="I608" s="273">
        <v>4</v>
      </c>
      <c r="J608" s="273">
        <v>85</v>
      </c>
      <c r="K608" s="273">
        <v>388</v>
      </c>
      <c r="L608" s="280" t="s">
        <v>2931</v>
      </c>
      <c r="M608" s="273" t="s">
        <v>501</v>
      </c>
    </row>
    <row r="609" spans="2:13" x14ac:dyDescent="0.25">
      <c r="B609" s="273" t="s">
        <v>1799</v>
      </c>
      <c r="C609" s="273" t="s">
        <v>1009</v>
      </c>
      <c r="D609" s="273" t="s">
        <v>1526</v>
      </c>
      <c r="E609" s="273" t="s">
        <v>1767</v>
      </c>
      <c r="F609" s="277" t="s">
        <v>1796</v>
      </c>
      <c r="G609" s="278" t="s">
        <v>633</v>
      </c>
      <c r="H609" s="278">
        <f t="shared" si="16"/>
        <v>72</v>
      </c>
      <c r="I609" s="273">
        <v>4</v>
      </c>
      <c r="J609" s="273">
        <v>55</v>
      </c>
      <c r="K609" s="273">
        <v>244</v>
      </c>
      <c r="L609" s="280" t="s">
        <v>2931</v>
      </c>
      <c r="M609" s="273" t="s">
        <v>501</v>
      </c>
    </row>
    <row r="610" spans="2:13" x14ac:dyDescent="0.25">
      <c r="B610" s="273" t="s">
        <v>1800</v>
      </c>
      <c r="C610" s="273" t="s">
        <v>1009</v>
      </c>
      <c r="D610" s="273" t="s">
        <v>1526</v>
      </c>
      <c r="E610" s="273" t="s">
        <v>1801</v>
      </c>
      <c r="F610" s="277" t="s">
        <v>1802</v>
      </c>
      <c r="G610" s="278" t="s">
        <v>1044</v>
      </c>
      <c r="H610" s="278">
        <f t="shared" si="16"/>
        <v>96</v>
      </c>
      <c r="I610" s="273">
        <v>1</v>
      </c>
      <c r="J610" s="273">
        <v>60</v>
      </c>
      <c r="K610" s="273">
        <v>61</v>
      </c>
      <c r="L610" s="280" t="s">
        <v>1434</v>
      </c>
      <c r="M610" s="273" t="s">
        <v>501</v>
      </c>
    </row>
    <row r="611" spans="2:13" x14ac:dyDescent="0.25">
      <c r="B611" s="273" t="s">
        <v>1803</v>
      </c>
      <c r="C611" s="273" t="s">
        <v>1009</v>
      </c>
      <c r="D611" s="273" t="s">
        <v>1526</v>
      </c>
      <c r="E611" s="273" t="s">
        <v>1801</v>
      </c>
      <c r="F611" s="277" t="s">
        <v>1804</v>
      </c>
      <c r="G611" s="278" t="s">
        <v>1044</v>
      </c>
      <c r="H611" s="278">
        <f t="shared" si="16"/>
        <v>96</v>
      </c>
      <c r="I611" s="273">
        <v>1</v>
      </c>
      <c r="J611" s="273">
        <v>60</v>
      </c>
      <c r="K611" s="273">
        <v>62</v>
      </c>
      <c r="L611" s="280" t="s">
        <v>1434</v>
      </c>
      <c r="M611" s="273" t="s">
        <v>501</v>
      </c>
    </row>
    <row r="612" spans="2:13" x14ac:dyDescent="0.25">
      <c r="B612" s="273" t="s">
        <v>1805</v>
      </c>
      <c r="C612" s="273" t="s">
        <v>1009</v>
      </c>
      <c r="D612" s="273" t="s">
        <v>1526</v>
      </c>
      <c r="E612" s="273" t="s">
        <v>1806</v>
      </c>
      <c r="F612" s="277" t="s">
        <v>1807</v>
      </c>
      <c r="G612" s="278" t="s">
        <v>559</v>
      </c>
      <c r="H612" s="278">
        <f t="shared" si="16"/>
        <v>96</v>
      </c>
      <c r="I612" s="273">
        <v>1</v>
      </c>
      <c r="J612" s="273">
        <v>95</v>
      </c>
      <c r="K612" s="273">
        <v>80</v>
      </c>
      <c r="L612" s="280" t="s">
        <v>1447</v>
      </c>
      <c r="M612" s="273" t="s">
        <v>501</v>
      </c>
    </row>
    <row r="613" spans="2:13" x14ac:dyDescent="0.25">
      <c r="B613" s="273" t="s">
        <v>1808</v>
      </c>
      <c r="C613" s="273" t="s">
        <v>1009</v>
      </c>
      <c r="D613" s="273" t="s">
        <v>1526</v>
      </c>
      <c r="E613" s="273" t="s">
        <v>1806</v>
      </c>
      <c r="F613" s="277" t="s">
        <v>1809</v>
      </c>
      <c r="G613" s="278" t="s">
        <v>559</v>
      </c>
      <c r="H613" s="278">
        <f t="shared" si="16"/>
        <v>96</v>
      </c>
      <c r="I613" s="273">
        <v>1</v>
      </c>
      <c r="J613" s="273">
        <v>95</v>
      </c>
      <c r="K613" s="273">
        <v>85</v>
      </c>
      <c r="L613" s="280" t="s">
        <v>1447</v>
      </c>
      <c r="M613" s="273" t="s">
        <v>501</v>
      </c>
    </row>
    <row r="614" spans="2:13" x14ac:dyDescent="0.25">
      <c r="B614" s="273" t="s">
        <v>1810</v>
      </c>
      <c r="C614" s="273" t="s">
        <v>1009</v>
      </c>
      <c r="D614" s="273" t="s">
        <v>1526</v>
      </c>
      <c r="E614" s="273" t="s">
        <v>1806</v>
      </c>
      <c r="F614" s="277" t="s">
        <v>1807</v>
      </c>
      <c r="G614" s="278" t="s">
        <v>633</v>
      </c>
      <c r="H614" s="278">
        <f t="shared" si="16"/>
        <v>96</v>
      </c>
      <c r="I614" s="273">
        <v>1</v>
      </c>
      <c r="J614" s="273">
        <v>95</v>
      </c>
      <c r="K614" s="273">
        <v>125</v>
      </c>
      <c r="L614" s="280" t="s">
        <v>1447</v>
      </c>
      <c r="M614" s="273" t="s">
        <v>501</v>
      </c>
    </row>
    <row r="615" spans="2:13" x14ac:dyDescent="0.25">
      <c r="B615" s="273" t="s">
        <v>1811</v>
      </c>
      <c r="C615" s="273" t="s">
        <v>1009</v>
      </c>
      <c r="D615" s="273" t="s">
        <v>1526</v>
      </c>
      <c r="E615" s="273" t="s">
        <v>1801</v>
      </c>
      <c r="F615" s="277" t="s">
        <v>1802</v>
      </c>
      <c r="G615" s="278" t="s">
        <v>559</v>
      </c>
      <c r="H615" s="278">
        <f t="shared" si="16"/>
        <v>96</v>
      </c>
      <c r="I615" s="273">
        <v>1</v>
      </c>
      <c r="J615" s="273">
        <v>60</v>
      </c>
      <c r="K615" s="273">
        <v>60</v>
      </c>
      <c r="L615" s="280" t="s">
        <v>1434</v>
      </c>
      <c r="M615" s="273" t="s">
        <v>501</v>
      </c>
    </row>
    <row r="616" spans="2:13" x14ac:dyDescent="0.25">
      <c r="B616" s="273" t="s">
        <v>1812</v>
      </c>
      <c r="C616" s="273" t="s">
        <v>1009</v>
      </c>
      <c r="D616" s="273" t="s">
        <v>1526</v>
      </c>
      <c r="E616" s="273" t="s">
        <v>1801</v>
      </c>
      <c r="F616" s="277" t="s">
        <v>1813</v>
      </c>
      <c r="G616" s="278" t="s">
        <v>559</v>
      </c>
      <c r="H616" s="278">
        <f t="shared" si="16"/>
        <v>96</v>
      </c>
      <c r="I616" s="273">
        <v>1</v>
      </c>
      <c r="J616" s="273">
        <v>60</v>
      </c>
      <c r="K616" s="273">
        <v>55</v>
      </c>
      <c r="L616" s="280" t="s">
        <v>1434</v>
      </c>
      <c r="M616" s="273" t="s">
        <v>501</v>
      </c>
    </row>
    <row r="617" spans="2:13" x14ac:dyDescent="0.25">
      <c r="B617" s="273" t="s">
        <v>1814</v>
      </c>
      <c r="C617" s="273" t="s">
        <v>1009</v>
      </c>
      <c r="D617" s="273" t="s">
        <v>1526</v>
      </c>
      <c r="E617" s="273" t="s">
        <v>1801</v>
      </c>
      <c r="F617" s="277" t="s">
        <v>1802</v>
      </c>
      <c r="G617" s="278" t="s">
        <v>633</v>
      </c>
      <c r="H617" s="278">
        <f t="shared" si="16"/>
        <v>96</v>
      </c>
      <c r="I617" s="273">
        <v>1</v>
      </c>
      <c r="J617" s="273">
        <v>60</v>
      </c>
      <c r="K617" s="273">
        <v>83</v>
      </c>
      <c r="L617" s="280" t="s">
        <v>1434</v>
      </c>
      <c r="M617" s="273" t="s">
        <v>501</v>
      </c>
    </row>
    <row r="618" spans="2:13" x14ac:dyDescent="0.25">
      <c r="B618" s="273" t="s">
        <v>1815</v>
      </c>
      <c r="C618" s="273" t="s">
        <v>1009</v>
      </c>
      <c r="D618" s="273" t="s">
        <v>1526</v>
      </c>
      <c r="E618" s="273" t="s">
        <v>1801</v>
      </c>
      <c r="F618" s="277" t="s">
        <v>1804</v>
      </c>
      <c r="G618" s="278" t="s">
        <v>633</v>
      </c>
      <c r="H618" s="278">
        <f t="shared" si="16"/>
        <v>96</v>
      </c>
      <c r="I618" s="273">
        <v>1</v>
      </c>
      <c r="J618" s="273">
        <v>60</v>
      </c>
      <c r="K618" s="273">
        <v>64</v>
      </c>
      <c r="L618" s="280" t="s">
        <v>1434</v>
      </c>
      <c r="M618" s="273" t="s">
        <v>501</v>
      </c>
    </row>
    <row r="619" spans="2:13" x14ac:dyDescent="0.25">
      <c r="B619" s="273" t="s">
        <v>1816</v>
      </c>
      <c r="C619" s="273" t="s">
        <v>1009</v>
      </c>
      <c r="D619" s="273" t="s">
        <v>1526</v>
      </c>
      <c r="E619" s="273" t="s">
        <v>1817</v>
      </c>
      <c r="F619" s="277" t="s">
        <v>1818</v>
      </c>
      <c r="G619" s="278" t="s">
        <v>633</v>
      </c>
      <c r="H619" s="278">
        <f t="shared" si="16"/>
        <v>96</v>
      </c>
      <c r="I619" s="273">
        <v>1</v>
      </c>
      <c r="J619" s="273">
        <v>185</v>
      </c>
      <c r="K619" s="273">
        <v>200</v>
      </c>
      <c r="L619" s="280" t="s">
        <v>1447</v>
      </c>
      <c r="M619" s="273" t="s">
        <v>501</v>
      </c>
    </row>
    <row r="620" spans="2:13" x14ac:dyDescent="0.25">
      <c r="B620" s="273" t="s">
        <v>1819</v>
      </c>
      <c r="C620" s="273" t="s">
        <v>1009</v>
      </c>
      <c r="D620" s="273" t="s">
        <v>1526</v>
      </c>
      <c r="E620" s="273" t="s">
        <v>1820</v>
      </c>
      <c r="F620" s="277" t="s">
        <v>1821</v>
      </c>
      <c r="G620" s="278" t="s">
        <v>1044</v>
      </c>
      <c r="H620" s="278">
        <f t="shared" si="16"/>
        <v>96</v>
      </c>
      <c r="I620" s="273">
        <v>1</v>
      </c>
      <c r="J620" s="273">
        <v>75</v>
      </c>
      <c r="K620" s="273">
        <v>91</v>
      </c>
      <c r="L620" s="280" t="s">
        <v>1434</v>
      </c>
      <c r="M620" s="273" t="s">
        <v>501</v>
      </c>
    </row>
    <row r="621" spans="2:13" x14ac:dyDescent="0.25">
      <c r="B621" s="273" t="s">
        <v>1822</v>
      </c>
      <c r="C621" s="273" t="s">
        <v>1009</v>
      </c>
      <c r="D621" s="273" t="s">
        <v>1526</v>
      </c>
      <c r="E621" s="273" t="s">
        <v>1823</v>
      </c>
      <c r="F621" s="277" t="s">
        <v>1824</v>
      </c>
      <c r="G621" s="278" t="s">
        <v>1044</v>
      </c>
      <c r="H621" s="278">
        <f t="shared" si="16"/>
        <v>96</v>
      </c>
      <c r="I621" s="273">
        <v>1</v>
      </c>
      <c r="J621" s="273">
        <v>110</v>
      </c>
      <c r="K621" s="273">
        <v>132</v>
      </c>
      <c r="L621" s="280" t="s">
        <v>1447</v>
      </c>
      <c r="M621" s="273" t="s">
        <v>501</v>
      </c>
    </row>
    <row r="622" spans="2:13" x14ac:dyDescent="0.25">
      <c r="B622" s="273" t="s">
        <v>1825</v>
      </c>
      <c r="C622" s="273" t="s">
        <v>1009</v>
      </c>
      <c r="D622" s="273" t="s">
        <v>1526</v>
      </c>
      <c r="E622" s="273" t="s">
        <v>1823</v>
      </c>
      <c r="F622" s="277" t="s">
        <v>1826</v>
      </c>
      <c r="G622" s="278" t="s">
        <v>559</v>
      </c>
      <c r="H622" s="278">
        <f t="shared" si="16"/>
        <v>96</v>
      </c>
      <c r="I622" s="273">
        <v>1</v>
      </c>
      <c r="J622" s="273">
        <v>110</v>
      </c>
      <c r="K622" s="273">
        <v>98</v>
      </c>
      <c r="L622" s="280" t="s">
        <v>1447</v>
      </c>
      <c r="M622" s="273" t="s">
        <v>501</v>
      </c>
    </row>
    <row r="623" spans="2:13" x14ac:dyDescent="0.25">
      <c r="B623" s="273" t="s">
        <v>1827</v>
      </c>
      <c r="C623" s="273" t="s">
        <v>1009</v>
      </c>
      <c r="D623" s="273" t="s">
        <v>1526</v>
      </c>
      <c r="E623" s="273" t="s">
        <v>1823</v>
      </c>
      <c r="F623" s="277" t="s">
        <v>1824</v>
      </c>
      <c r="G623" s="278" t="s">
        <v>633</v>
      </c>
      <c r="H623" s="278">
        <f t="shared" si="16"/>
        <v>96</v>
      </c>
      <c r="I623" s="273">
        <v>1</v>
      </c>
      <c r="J623" s="273">
        <v>110</v>
      </c>
      <c r="K623" s="273">
        <v>145</v>
      </c>
      <c r="L623" s="280" t="s">
        <v>1447</v>
      </c>
      <c r="M623" s="273" t="s">
        <v>501</v>
      </c>
    </row>
    <row r="624" spans="2:13" x14ac:dyDescent="0.25">
      <c r="B624" s="273" t="s">
        <v>1828</v>
      </c>
      <c r="C624" s="273" t="s">
        <v>1009</v>
      </c>
      <c r="D624" s="273" t="s">
        <v>1526</v>
      </c>
      <c r="E624" s="273" t="s">
        <v>1820</v>
      </c>
      <c r="F624" s="277" t="s">
        <v>1829</v>
      </c>
      <c r="G624" s="278" t="s">
        <v>559</v>
      </c>
      <c r="H624" s="278">
        <f t="shared" si="16"/>
        <v>96</v>
      </c>
      <c r="I624" s="273">
        <v>1</v>
      </c>
      <c r="J624" s="273">
        <v>75</v>
      </c>
      <c r="K624" s="273">
        <v>70</v>
      </c>
      <c r="L624" s="280" t="s">
        <v>1434</v>
      </c>
      <c r="M624" s="273" t="s">
        <v>501</v>
      </c>
    </row>
    <row r="625" spans="2:13" x14ac:dyDescent="0.25">
      <c r="B625" s="273" t="s">
        <v>1830</v>
      </c>
      <c r="C625" s="273" t="s">
        <v>1009</v>
      </c>
      <c r="D625" s="273" t="s">
        <v>1526</v>
      </c>
      <c r="E625" s="273" t="s">
        <v>1820</v>
      </c>
      <c r="F625" s="277" t="s">
        <v>1831</v>
      </c>
      <c r="G625" s="278" t="s">
        <v>559</v>
      </c>
      <c r="H625" s="278">
        <f t="shared" si="16"/>
        <v>96</v>
      </c>
      <c r="I625" s="273">
        <v>1</v>
      </c>
      <c r="J625" s="273">
        <v>75</v>
      </c>
      <c r="K625" s="273">
        <v>67</v>
      </c>
      <c r="L625" s="280" t="s">
        <v>1434</v>
      </c>
      <c r="M625" s="273" t="s">
        <v>501</v>
      </c>
    </row>
    <row r="626" spans="2:13" x14ac:dyDescent="0.25">
      <c r="B626" s="273" t="s">
        <v>1832</v>
      </c>
      <c r="C626" s="273" t="s">
        <v>1009</v>
      </c>
      <c r="D626" s="273" t="s">
        <v>1526</v>
      </c>
      <c r="E626" s="273" t="s">
        <v>1820</v>
      </c>
      <c r="F626" s="277" t="s">
        <v>1821</v>
      </c>
      <c r="G626" s="278" t="s">
        <v>633</v>
      </c>
      <c r="H626" s="278">
        <f t="shared" si="16"/>
        <v>96</v>
      </c>
      <c r="I626" s="273">
        <v>1</v>
      </c>
      <c r="J626" s="273">
        <v>75</v>
      </c>
      <c r="K626" s="273">
        <v>100</v>
      </c>
      <c r="L626" s="280" t="s">
        <v>1434</v>
      </c>
      <c r="M626" s="273" t="s">
        <v>501</v>
      </c>
    </row>
    <row r="627" spans="2:13" x14ac:dyDescent="0.25">
      <c r="B627" s="273" t="s">
        <v>1833</v>
      </c>
      <c r="C627" s="273" t="s">
        <v>1009</v>
      </c>
      <c r="D627" s="273" t="s">
        <v>1526</v>
      </c>
      <c r="E627" s="273" t="s">
        <v>1834</v>
      </c>
      <c r="F627" s="277" t="s">
        <v>1835</v>
      </c>
      <c r="G627" s="278" t="s">
        <v>633</v>
      </c>
      <c r="H627" s="278">
        <f t="shared" si="16"/>
        <v>96</v>
      </c>
      <c r="I627" s="273">
        <v>1</v>
      </c>
      <c r="J627" s="273">
        <v>215</v>
      </c>
      <c r="K627" s="273">
        <v>230</v>
      </c>
      <c r="L627" s="280" t="s">
        <v>1447</v>
      </c>
      <c r="M627" s="273" t="s">
        <v>501</v>
      </c>
    </row>
    <row r="628" spans="2:13" x14ac:dyDescent="0.25">
      <c r="B628" s="273" t="s">
        <v>1836</v>
      </c>
      <c r="C628" s="273" t="s">
        <v>1009</v>
      </c>
      <c r="D628" s="273" t="s">
        <v>1526</v>
      </c>
      <c r="E628" s="273" t="s">
        <v>1801</v>
      </c>
      <c r="F628" s="277" t="s">
        <v>1837</v>
      </c>
      <c r="G628" s="278" t="s">
        <v>1044</v>
      </c>
      <c r="H628" s="278">
        <f t="shared" si="16"/>
        <v>96</v>
      </c>
      <c r="I628" s="273">
        <v>2</v>
      </c>
      <c r="J628" s="273">
        <v>60</v>
      </c>
      <c r="K628" s="273">
        <v>123</v>
      </c>
      <c r="L628" s="280" t="s">
        <v>1452</v>
      </c>
      <c r="M628" s="273" t="s">
        <v>501</v>
      </c>
    </row>
    <row r="629" spans="2:13" x14ac:dyDescent="0.25">
      <c r="B629" s="273" t="s">
        <v>1838</v>
      </c>
      <c r="C629" s="273" t="s">
        <v>1009</v>
      </c>
      <c r="D629" s="273" t="s">
        <v>1526</v>
      </c>
      <c r="E629" s="273" t="s">
        <v>1806</v>
      </c>
      <c r="F629" s="277" t="s">
        <v>1839</v>
      </c>
      <c r="G629" s="278" t="s">
        <v>1044</v>
      </c>
      <c r="H629" s="278">
        <f t="shared" si="16"/>
        <v>96</v>
      </c>
      <c r="I629" s="273">
        <v>2</v>
      </c>
      <c r="J629" s="273">
        <v>95</v>
      </c>
      <c r="K629" s="273">
        <v>207</v>
      </c>
      <c r="L629" s="280" t="s">
        <v>1456</v>
      </c>
      <c r="M629" s="273" t="s">
        <v>501</v>
      </c>
    </row>
    <row r="630" spans="2:13" x14ac:dyDescent="0.25">
      <c r="B630" s="273" t="s">
        <v>1840</v>
      </c>
      <c r="C630" s="273" t="s">
        <v>1009</v>
      </c>
      <c r="D630" s="273" t="s">
        <v>1526</v>
      </c>
      <c r="E630" s="273" t="s">
        <v>1806</v>
      </c>
      <c r="F630" s="277" t="s">
        <v>1839</v>
      </c>
      <c r="G630" s="278" t="s">
        <v>559</v>
      </c>
      <c r="H630" s="278">
        <f t="shared" si="16"/>
        <v>96</v>
      </c>
      <c r="I630" s="273">
        <v>2</v>
      </c>
      <c r="J630" s="273">
        <v>95</v>
      </c>
      <c r="K630" s="273">
        <v>170</v>
      </c>
      <c r="L630" s="280" t="s">
        <v>1456</v>
      </c>
      <c r="M630" s="273" t="s">
        <v>501</v>
      </c>
    </row>
    <row r="631" spans="2:13" x14ac:dyDescent="0.25">
      <c r="B631" s="273" t="s">
        <v>1841</v>
      </c>
      <c r="C631" s="273" t="s">
        <v>1009</v>
      </c>
      <c r="D631" s="273" t="s">
        <v>1526</v>
      </c>
      <c r="E631" s="273" t="s">
        <v>1806</v>
      </c>
      <c r="F631" s="277" t="s">
        <v>1839</v>
      </c>
      <c r="G631" s="278" t="s">
        <v>633</v>
      </c>
      <c r="H631" s="278">
        <f t="shared" si="16"/>
        <v>96</v>
      </c>
      <c r="I631" s="273">
        <v>2</v>
      </c>
      <c r="J631" s="273">
        <v>95</v>
      </c>
      <c r="K631" s="273">
        <v>227</v>
      </c>
      <c r="L631" s="280" t="s">
        <v>1456</v>
      </c>
      <c r="M631" s="273" t="s">
        <v>501</v>
      </c>
    </row>
    <row r="632" spans="2:13" x14ac:dyDescent="0.25">
      <c r="B632" s="273" t="s">
        <v>1842</v>
      </c>
      <c r="C632" s="273" t="s">
        <v>1009</v>
      </c>
      <c r="D632" s="273" t="s">
        <v>1526</v>
      </c>
      <c r="E632" s="273" t="s">
        <v>1801</v>
      </c>
      <c r="F632" s="277" t="s">
        <v>1837</v>
      </c>
      <c r="G632" s="278" t="s">
        <v>559</v>
      </c>
      <c r="H632" s="278">
        <f t="shared" si="16"/>
        <v>96</v>
      </c>
      <c r="I632" s="273">
        <v>2</v>
      </c>
      <c r="J632" s="273">
        <v>60</v>
      </c>
      <c r="K632" s="273">
        <v>110</v>
      </c>
      <c r="L632" s="280" t="s">
        <v>1452</v>
      </c>
      <c r="M632" s="273" t="s">
        <v>501</v>
      </c>
    </row>
    <row r="633" spans="2:13" x14ac:dyDescent="0.25">
      <c r="B633" s="273" t="s">
        <v>1843</v>
      </c>
      <c r="C633" s="273" t="s">
        <v>1009</v>
      </c>
      <c r="D633" s="273" t="s">
        <v>1526</v>
      </c>
      <c r="E633" s="273" t="s">
        <v>1801</v>
      </c>
      <c r="F633" s="277" t="s">
        <v>1837</v>
      </c>
      <c r="G633" s="278" t="s">
        <v>633</v>
      </c>
      <c r="H633" s="278">
        <f t="shared" si="16"/>
        <v>96</v>
      </c>
      <c r="I633" s="273">
        <v>2</v>
      </c>
      <c r="J633" s="273">
        <v>60</v>
      </c>
      <c r="K633" s="273">
        <v>138</v>
      </c>
      <c r="L633" s="280" t="s">
        <v>1452</v>
      </c>
      <c r="M633" s="273" t="s">
        <v>501</v>
      </c>
    </row>
    <row r="634" spans="2:13" x14ac:dyDescent="0.25">
      <c r="B634" s="273" t="s">
        <v>1844</v>
      </c>
      <c r="C634" s="273" t="s">
        <v>1009</v>
      </c>
      <c r="D634" s="273" t="s">
        <v>1526</v>
      </c>
      <c r="E634" s="273" t="s">
        <v>1817</v>
      </c>
      <c r="F634" s="277" t="s">
        <v>1845</v>
      </c>
      <c r="G634" s="278" t="s">
        <v>633</v>
      </c>
      <c r="H634" s="278">
        <f t="shared" si="16"/>
        <v>96</v>
      </c>
      <c r="I634" s="273">
        <v>2</v>
      </c>
      <c r="J634" s="273">
        <v>185</v>
      </c>
      <c r="K634" s="273">
        <v>390</v>
      </c>
      <c r="L634" s="280" t="s">
        <v>1456</v>
      </c>
      <c r="M634" s="273" t="s">
        <v>501</v>
      </c>
    </row>
    <row r="635" spans="2:13" x14ac:dyDescent="0.25">
      <c r="B635" s="273" t="s">
        <v>1846</v>
      </c>
      <c r="C635" s="273" t="s">
        <v>1009</v>
      </c>
      <c r="D635" s="273" t="s">
        <v>1526</v>
      </c>
      <c r="E635" s="273" t="s">
        <v>1820</v>
      </c>
      <c r="F635" s="277" t="s">
        <v>1847</v>
      </c>
      <c r="G635" s="278" t="s">
        <v>1044</v>
      </c>
      <c r="H635" s="278">
        <f t="shared" si="16"/>
        <v>96</v>
      </c>
      <c r="I635" s="273">
        <v>2</v>
      </c>
      <c r="J635" s="273">
        <v>75</v>
      </c>
      <c r="K635" s="273">
        <v>158</v>
      </c>
      <c r="L635" s="280" t="s">
        <v>1452</v>
      </c>
      <c r="M635" s="273" t="s">
        <v>501</v>
      </c>
    </row>
    <row r="636" spans="2:13" x14ac:dyDescent="0.25">
      <c r="B636" s="273" t="s">
        <v>1848</v>
      </c>
      <c r="C636" s="273" t="s">
        <v>1009</v>
      </c>
      <c r="D636" s="273" t="s">
        <v>1526</v>
      </c>
      <c r="E636" s="273" t="s">
        <v>1823</v>
      </c>
      <c r="F636" s="277" t="s">
        <v>1849</v>
      </c>
      <c r="G636" s="278" t="s">
        <v>1044</v>
      </c>
      <c r="H636" s="278">
        <f t="shared" si="16"/>
        <v>96</v>
      </c>
      <c r="I636" s="273">
        <v>2</v>
      </c>
      <c r="J636" s="273">
        <v>110</v>
      </c>
      <c r="K636" s="273">
        <v>237</v>
      </c>
      <c r="L636" s="280" t="s">
        <v>1456</v>
      </c>
      <c r="M636" s="273" t="s">
        <v>501</v>
      </c>
    </row>
    <row r="637" spans="2:13" x14ac:dyDescent="0.25">
      <c r="B637" s="273" t="s">
        <v>1850</v>
      </c>
      <c r="C637" s="273" t="s">
        <v>1009</v>
      </c>
      <c r="D637" s="273" t="s">
        <v>1526</v>
      </c>
      <c r="E637" s="273" t="s">
        <v>1823</v>
      </c>
      <c r="F637" s="277" t="s">
        <v>1849</v>
      </c>
      <c r="G637" s="278" t="s">
        <v>559</v>
      </c>
      <c r="H637" s="278">
        <f t="shared" si="16"/>
        <v>96</v>
      </c>
      <c r="I637" s="273">
        <v>2</v>
      </c>
      <c r="J637" s="273">
        <v>110</v>
      </c>
      <c r="K637" s="273">
        <v>195</v>
      </c>
      <c r="L637" s="280" t="s">
        <v>1456</v>
      </c>
      <c r="M637" s="273" t="s">
        <v>501</v>
      </c>
    </row>
    <row r="638" spans="2:13" x14ac:dyDescent="0.25">
      <c r="B638" s="273" t="s">
        <v>1851</v>
      </c>
      <c r="C638" s="273" t="s">
        <v>1009</v>
      </c>
      <c r="D638" s="273" t="s">
        <v>1526</v>
      </c>
      <c r="E638" s="273" t="s">
        <v>1823</v>
      </c>
      <c r="F638" s="277" t="s">
        <v>1849</v>
      </c>
      <c r="G638" s="278" t="s">
        <v>633</v>
      </c>
      <c r="H638" s="278">
        <f t="shared" si="16"/>
        <v>96</v>
      </c>
      <c r="I638" s="273">
        <v>2</v>
      </c>
      <c r="J638" s="273">
        <v>110</v>
      </c>
      <c r="K638" s="273">
        <v>257</v>
      </c>
      <c r="L638" s="280" t="s">
        <v>1456</v>
      </c>
      <c r="M638" s="273" t="s">
        <v>501</v>
      </c>
    </row>
    <row r="639" spans="2:13" x14ac:dyDescent="0.25">
      <c r="B639" s="273" t="s">
        <v>1852</v>
      </c>
      <c r="C639" s="273" t="s">
        <v>1009</v>
      </c>
      <c r="D639" s="273" t="s">
        <v>1526</v>
      </c>
      <c r="E639" s="273" t="s">
        <v>1820</v>
      </c>
      <c r="F639" s="277" t="s">
        <v>1853</v>
      </c>
      <c r="G639" s="278" t="s">
        <v>559</v>
      </c>
      <c r="H639" s="278">
        <f t="shared" si="16"/>
        <v>96</v>
      </c>
      <c r="I639" s="273">
        <v>2</v>
      </c>
      <c r="J639" s="273">
        <v>75</v>
      </c>
      <c r="K639" s="273">
        <v>134</v>
      </c>
      <c r="L639" s="280" t="s">
        <v>1452</v>
      </c>
      <c r="M639" s="273" t="s">
        <v>501</v>
      </c>
    </row>
    <row r="640" spans="2:13" x14ac:dyDescent="0.25">
      <c r="B640" s="273" t="s">
        <v>1854</v>
      </c>
      <c r="C640" s="273" t="s">
        <v>1009</v>
      </c>
      <c r="D640" s="273" t="s">
        <v>1526</v>
      </c>
      <c r="E640" s="273" t="s">
        <v>1820</v>
      </c>
      <c r="F640" s="277" t="s">
        <v>1847</v>
      </c>
      <c r="G640" s="278" t="s">
        <v>633</v>
      </c>
      <c r="H640" s="278">
        <f t="shared" si="16"/>
        <v>96</v>
      </c>
      <c r="I640" s="273">
        <v>2</v>
      </c>
      <c r="J640" s="273">
        <v>75</v>
      </c>
      <c r="K640" s="273">
        <v>173</v>
      </c>
      <c r="L640" s="280" t="s">
        <v>1452</v>
      </c>
      <c r="M640" s="273" t="s">
        <v>501</v>
      </c>
    </row>
    <row r="641" spans="2:13" x14ac:dyDescent="0.25">
      <c r="B641" s="273" t="s">
        <v>1855</v>
      </c>
      <c r="C641" s="273" t="s">
        <v>1009</v>
      </c>
      <c r="D641" s="273" t="s">
        <v>1526</v>
      </c>
      <c r="E641" s="273" t="s">
        <v>1834</v>
      </c>
      <c r="F641" s="277" t="s">
        <v>1856</v>
      </c>
      <c r="G641" s="278" t="s">
        <v>633</v>
      </c>
      <c r="H641" s="278">
        <f t="shared" si="16"/>
        <v>96</v>
      </c>
      <c r="I641" s="273">
        <v>2</v>
      </c>
      <c r="J641" s="273">
        <v>215</v>
      </c>
      <c r="K641" s="273">
        <v>450</v>
      </c>
      <c r="L641" s="280" t="s">
        <v>1456</v>
      </c>
      <c r="M641" s="273" t="s">
        <v>501</v>
      </c>
    </row>
    <row r="642" spans="2:13" x14ac:dyDescent="0.25">
      <c r="B642" s="273" t="s">
        <v>1857</v>
      </c>
      <c r="C642" s="273" t="s">
        <v>1009</v>
      </c>
      <c r="D642" s="273" t="s">
        <v>1526</v>
      </c>
      <c r="E642" s="273" t="s">
        <v>1801</v>
      </c>
      <c r="F642" s="277" t="s">
        <v>1858</v>
      </c>
      <c r="G642" s="278" t="s">
        <v>1044</v>
      </c>
      <c r="H642" s="278">
        <f t="shared" si="16"/>
        <v>96</v>
      </c>
      <c r="I642" s="273">
        <v>3</v>
      </c>
      <c r="J642" s="273">
        <v>60</v>
      </c>
      <c r="K642" s="273">
        <v>210</v>
      </c>
      <c r="L642" s="280" t="s">
        <v>1458</v>
      </c>
      <c r="M642" s="273" t="s">
        <v>501</v>
      </c>
    </row>
    <row r="643" spans="2:13" x14ac:dyDescent="0.25">
      <c r="B643" s="273" t="s">
        <v>1859</v>
      </c>
      <c r="C643" s="273" t="s">
        <v>1009</v>
      </c>
      <c r="D643" s="273" t="s">
        <v>1526</v>
      </c>
      <c r="E643" s="273" t="s">
        <v>1806</v>
      </c>
      <c r="F643" s="277" t="s">
        <v>1860</v>
      </c>
      <c r="G643" s="278" t="s">
        <v>1861</v>
      </c>
      <c r="H643" s="278">
        <f t="shared" si="16"/>
        <v>96</v>
      </c>
      <c r="I643" s="273">
        <v>3</v>
      </c>
      <c r="J643" s="273">
        <v>95</v>
      </c>
      <c r="K643" s="273">
        <v>319</v>
      </c>
      <c r="L643" s="280" t="s">
        <v>2942</v>
      </c>
      <c r="M643" s="273" t="s">
        <v>501</v>
      </c>
    </row>
    <row r="644" spans="2:13" x14ac:dyDescent="0.25">
      <c r="B644" s="273" t="s">
        <v>1862</v>
      </c>
      <c r="C644" s="273" t="s">
        <v>1009</v>
      </c>
      <c r="D644" s="273" t="s">
        <v>1526</v>
      </c>
      <c r="E644" s="273" t="s">
        <v>1806</v>
      </c>
      <c r="F644" s="277" t="s">
        <v>1863</v>
      </c>
      <c r="G644" s="278" t="s">
        <v>633</v>
      </c>
      <c r="H644" s="278">
        <f t="shared" si="16"/>
        <v>96</v>
      </c>
      <c r="I644" s="273">
        <v>3</v>
      </c>
      <c r="J644" s="273">
        <v>95</v>
      </c>
      <c r="K644" s="273">
        <v>352</v>
      </c>
      <c r="L644" s="280" t="s">
        <v>2942</v>
      </c>
      <c r="M644" s="273" t="s">
        <v>501</v>
      </c>
    </row>
    <row r="645" spans="2:13" x14ac:dyDescent="0.25">
      <c r="B645" s="273" t="s">
        <v>1864</v>
      </c>
      <c r="C645" s="273" t="s">
        <v>1009</v>
      </c>
      <c r="D645" s="273" t="s">
        <v>1526</v>
      </c>
      <c r="E645" s="273" t="s">
        <v>1801</v>
      </c>
      <c r="F645" s="277" t="s">
        <v>1858</v>
      </c>
      <c r="G645" s="278" t="s">
        <v>559</v>
      </c>
      <c r="H645" s="278">
        <f t="shared" si="16"/>
        <v>96</v>
      </c>
      <c r="I645" s="273">
        <v>3</v>
      </c>
      <c r="J645" s="273">
        <v>60</v>
      </c>
      <c r="K645" s="273">
        <v>179</v>
      </c>
      <c r="L645" s="280" t="s">
        <v>1458</v>
      </c>
      <c r="M645" s="273" t="s">
        <v>501</v>
      </c>
    </row>
    <row r="646" spans="2:13" x14ac:dyDescent="0.25">
      <c r="B646" s="273" t="s">
        <v>1865</v>
      </c>
      <c r="C646" s="273" t="s">
        <v>1009</v>
      </c>
      <c r="D646" s="273" t="s">
        <v>1526</v>
      </c>
      <c r="E646" s="273" t="s">
        <v>1801</v>
      </c>
      <c r="F646" s="277" t="s">
        <v>1858</v>
      </c>
      <c r="G646" s="278" t="s">
        <v>633</v>
      </c>
      <c r="H646" s="278">
        <f t="shared" si="16"/>
        <v>96</v>
      </c>
      <c r="I646" s="273">
        <v>3</v>
      </c>
      <c r="J646" s="273">
        <v>60</v>
      </c>
      <c r="K646" s="273">
        <v>221</v>
      </c>
      <c r="L646" s="280" t="s">
        <v>1458</v>
      </c>
      <c r="M646" s="273" t="s">
        <v>501</v>
      </c>
    </row>
    <row r="647" spans="2:13" x14ac:dyDescent="0.25">
      <c r="B647" s="273" t="s">
        <v>1866</v>
      </c>
      <c r="C647" s="273" t="s">
        <v>1009</v>
      </c>
      <c r="D647" s="273" t="s">
        <v>1526</v>
      </c>
      <c r="E647" s="273" t="s">
        <v>1817</v>
      </c>
      <c r="F647" s="277" t="s">
        <v>1867</v>
      </c>
      <c r="G647" s="278" t="s">
        <v>633</v>
      </c>
      <c r="H647" s="278">
        <f t="shared" si="16"/>
        <v>96</v>
      </c>
      <c r="I647" s="273">
        <v>3</v>
      </c>
      <c r="J647" s="273">
        <v>185</v>
      </c>
      <c r="K647" s="273">
        <v>590</v>
      </c>
      <c r="L647" s="280" t="s">
        <v>2942</v>
      </c>
      <c r="M647" s="273" t="s">
        <v>501</v>
      </c>
    </row>
    <row r="648" spans="2:13" x14ac:dyDescent="0.25">
      <c r="B648" s="273" t="s">
        <v>1868</v>
      </c>
      <c r="C648" s="273" t="s">
        <v>1009</v>
      </c>
      <c r="D648" s="273" t="s">
        <v>1526</v>
      </c>
      <c r="E648" s="273" t="s">
        <v>1823</v>
      </c>
      <c r="F648" s="277" t="s">
        <v>1869</v>
      </c>
      <c r="G648" s="278" t="s">
        <v>633</v>
      </c>
      <c r="H648" s="278">
        <f t="shared" si="16"/>
        <v>96</v>
      </c>
      <c r="I648" s="273">
        <v>3</v>
      </c>
      <c r="J648" s="273">
        <v>110</v>
      </c>
      <c r="K648" s="273">
        <v>392</v>
      </c>
      <c r="L648" s="280" t="s">
        <v>2942</v>
      </c>
      <c r="M648" s="273" t="s">
        <v>501</v>
      </c>
    </row>
    <row r="649" spans="2:13" x14ac:dyDescent="0.25">
      <c r="B649" s="273" t="s">
        <v>1870</v>
      </c>
      <c r="C649" s="273" t="s">
        <v>1009</v>
      </c>
      <c r="D649" s="273" t="s">
        <v>1526</v>
      </c>
      <c r="E649" s="273" t="s">
        <v>1820</v>
      </c>
      <c r="F649" s="277" t="s">
        <v>1871</v>
      </c>
      <c r="G649" s="278" t="s">
        <v>633</v>
      </c>
      <c r="H649" s="278">
        <f t="shared" si="16"/>
        <v>96</v>
      </c>
      <c r="I649" s="273">
        <v>3</v>
      </c>
      <c r="J649" s="273">
        <v>75</v>
      </c>
      <c r="K649" s="273">
        <v>273</v>
      </c>
      <c r="L649" s="280" t="s">
        <v>1458</v>
      </c>
      <c r="M649" s="273" t="s">
        <v>501</v>
      </c>
    </row>
    <row r="650" spans="2:13" x14ac:dyDescent="0.25">
      <c r="B650" s="273" t="s">
        <v>1872</v>
      </c>
      <c r="C650" s="273" t="s">
        <v>1009</v>
      </c>
      <c r="D650" s="273" t="s">
        <v>1526</v>
      </c>
      <c r="E650" s="273" t="s">
        <v>1834</v>
      </c>
      <c r="F650" s="277" t="s">
        <v>1873</v>
      </c>
      <c r="G650" s="278" t="s">
        <v>633</v>
      </c>
      <c r="H650" s="278">
        <f t="shared" si="16"/>
        <v>96</v>
      </c>
      <c r="I650" s="273">
        <v>3</v>
      </c>
      <c r="J650" s="273">
        <v>215</v>
      </c>
      <c r="K650" s="273">
        <v>680</v>
      </c>
      <c r="L650" s="280" t="s">
        <v>2942</v>
      </c>
      <c r="M650" s="273" t="s">
        <v>501</v>
      </c>
    </row>
    <row r="651" spans="2:13" x14ac:dyDescent="0.25">
      <c r="B651" s="273" t="s">
        <v>1874</v>
      </c>
      <c r="C651" s="273" t="s">
        <v>1009</v>
      </c>
      <c r="D651" s="273" t="s">
        <v>1526</v>
      </c>
      <c r="E651" s="273" t="s">
        <v>1801</v>
      </c>
      <c r="F651" s="277" t="s">
        <v>1875</v>
      </c>
      <c r="G651" s="278" t="s">
        <v>1044</v>
      </c>
      <c r="H651" s="278">
        <f t="shared" si="16"/>
        <v>96</v>
      </c>
      <c r="I651" s="273">
        <v>4</v>
      </c>
      <c r="J651" s="273">
        <v>60</v>
      </c>
      <c r="K651" s="273">
        <v>246</v>
      </c>
      <c r="L651" s="280" t="s">
        <v>1460</v>
      </c>
      <c r="M651" s="273" t="s">
        <v>501</v>
      </c>
    </row>
    <row r="652" spans="2:13" x14ac:dyDescent="0.25">
      <c r="B652" s="273" t="s">
        <v>1876</v>
      </c>
      <c r="C652" s="273" t="s">
        <v>1009</v>
      </c>
      <c r="D652" s="273" t="s">
        <v>1526</v>
      </c>
      <c r="E652" s="273" t="s">
        <v>1806</v>
      </c>
      <c r="F652" s="277" t="s">
        <v>1877</v>
      </c>
      <c r="G652" s="278" t="s">
        <v>1044</v>
      </c>
      <c r="H652" s="278">
        <f t="shared" si="16"/>
        <v>96</v>
      </c>
      <c r="I652" s="273">
        <v>4</v>
      </c>
      <c r="J652" s="273">
        <v>95</v>
      </c>
      <c r="K652" s="273">
        <v>414</v>
      </c>
      <c r="L652" s="280" t="s">
        <v>1462</v>
      </c>
      <c r="M652" s="273" t="s">
        <v>501</v>
      </c>
    </row>
    <row r="653" spans="2:13" x14ac:dyDescent="0.25">
      <c r="B653" s="273" t="s">
        <v>1878</v>
      </c>
      <c r="C653" s="273" t="s">
        <v>1009</v>
      </c>
      <c r="D653" s="273" t="s">
        <v>1526</v>
      </c>
      <c r="E653" s="273" t="s">
        <v>1806</v>
      </c>
      <c r="F653" s="277" t="s">
        <v>1877</v>
      </c>
      <c r="G653" s="278" t="s">
        <v>559</v>
      </c>
      <c r="H653" s="278">
        <f t="shared" si="16"/>
        <v>96</v>
      </c>
      <c r="I653" s="273">
        <v>4</v>
      </c>
      <c r="J653" s="273">
        <v>95</v>
      </c>
      <c r="K653" s="273">
        <v>340</v>
      </c>
      <c r="L653" s="280" t="s">
        <v>1462</v>
      </c>
      <c r="M653" s="273" t="s">
        <v>501</v>
      </c>
    </row>
    <row r="654" spans="2:13" x14ac:dyDescent="0.25">
      <c r="B654" s="273" t="s">
        <v>1879</v>
      </c>
      <c r="C654" s="273" t="s">
        <v>1009</v>
      </c>
      <c r="D654" s="273" t="s">
        <v>1526</v>
      </c>
      <c r="E654" s="273" t="s">
        <v>1806</v>
      </c>
      <c r="F654" s="277" t="s">
        <v>1877</v>
      </c>
      <c r="G654" s="278" t="s">
        <v>633</v>
      </c>
      <c r="H654" s="278">
        <f t="shared" si="16"/>
        <v>96</v>
      </c>
      <c r="I654" s="273">
        <v>4</v>
      </c>
      <c r="J654" s="273">
        <v>95</v>
      </c>
      <c r="K654" s="273">
        <v>454</v>
      </c>
      <c r="L654" s="280" t="s">
        <v>1462</v>
      </c>
      <c r="M654" s="273" t="s">
        <v>501</v>
      </c>
    </row>
    <row r="655" spans="2:13" x14ac:dyDescent="0.25">
      <c r="B655" s="273" t="s">
        <v>1880</v>
      </c>
      <c r="C655" s="273" t="s">
        <v>1009</v>
      </c>
      <c r="D655" s="273" t="s">
        <v>1526</v>
      </c>
      <c r="E655" s="273" t="s">
        <v>1801</v>
      </c>
      <c r="F655" s="277" t="s">
        <v>1875</v>
      </c>
      <c r="G655" s="278" t="s">
        <v>559</v>
      </c>
      <c r="H655" s="278">
        <f t="shared" ref="H655:H668" si="17">MID(B655,2,1)*12</f>
        <v>96</v>
      </c>
      <c r="I655" s="273">
        <v>4</v>
      </c>
      <c r="J655" s="273">
        <v>60</v>
      </c>
      <c r="K655" s="273">
        <v>220</v>
      </c>
      <c r="L655" s="280" t="s">
        <v>1460</v>
      </c>
      <c r="M655" s="273" t="s">
        <v>501</v>
      </c>
    </row>
    <row r="656" spans="2:13" x14ac:dyDescent="0.25">
      <c r="B656" s="273" t="s">
        <v>1881</v>
      </c>
      <c r="C656" s="273" t="s">
        <v>1009</v>
      </c>
      <c r="D656" s="273" t="s">
        <v>1526</v>
      </c>
      <c r="E656" s="273" t="s">
        <v>1801</v>
      </c>
      <c r="F656" s="277" t="s">
        <v>1875</v>
      </c>
      <c r="G656" s="278" t="s">
        <v>633</v>
      </c>
      <c r="H656" s="278">
        <f t="shared" si="17"/>
        <v>96</v>
      </c>
      <c r="I656" s="273">
        <v>4</v>
      </c>
      <c r="J656" s="273">
        <v>60</v>
      </c>
      <c r="K656" s="273">
        <v>276</v>
      </c>
      <c r="L656" s="280" t="s">
        <v>1460</v>
      </c>
      <c r="M656" s="273" t="s">
        <v>501</v>
      </c>
    </row>
    <row r="657" spans="2:13" x14ac:dyDescent="0.25">
      <c r="B657" s="273" t="s">
        <v>1882</v>
      </c>
      <c r="C657" s="273" t="s">
        <v>1009</v>
      </c>
      <c r="D657" s="273" t="s">
        <v>1526</v>
      </c>
      <c r="E657" s="273" t="s">
        <v>1817</v>
      </c>
      <c r="F657" s="277" t="s">
        <v>1883</v>
      </c>
      <c r="G657" s="278" t="s">
        <v>633</v>
      </c>
      <c r="H657" s="278">
        <f t="shared" si="17"/>
        <v>96</v>
      </c>
      <c r="I657" s="273">
        <v>4</v>
      </c>
      <c r="J657" s="273">
        <v>185</v>
      </c>
      <c r="K657" s="273">
        <v>780</v>
      </c>
      <c r="L657" s="280" t="s">
        <v>1462</v>
      </c>
      <c r="M657" s="273" t="s">
        <v>501</v>
      </c>
    </row>
    <row r="658" spans="2:13" x14ac:dyDescent="0.25">
      <c r="B658" s="273" t="s">
        <v>1884</v>
      </c>
      <c r="C658" s="273" t="s">
        <v>1009</v>
      </c>
      <c r="D658" s="273" t="s">
        <v>1526</v>
      </c>
      <c r="E658" s="273" t="s">
        <v>1820</v>
      </c>
      <c r="F658" s="277" t="s">
        <v>1885</v>
      </c>
      <c r="G658" s="278" t="s">
        <v>1044</v>
      </c>
      <c r="H658" s="278">
        <f t="shared" si="17"/>
        <v>96</v>
      </c>
      <c r="I658" s="273">
        <v>4</v>
      </c>
      <c r="J658" s="273">
        <v>75</v>
      </c>
      <c r="K658" s="273">
        <v>316</v>
      </c>
      <c r="L658" s="280" t="s">
        <v>1460</v>
      </c>
      <c r="M658" s="273" t="s">
        <v>501</v>
      </c>
    </row>
    <row r="659" spans="2:13" x14ac:dyDescent="0.25">
      <c r="B659" s="273" t="s">
        <v>1886</v>
      </c>
      <c r="C659" s="273" t="s">
        <v>1009</v>
      </c>
      <c r="D659" s="273" t="s">
        <v>1526</v>
      </c>
      <c r="E659" s="273" t="s">
        <v>1823</v>
      </c>
      <c r="F659" s="277" t="s">
        <v>1887</v>
      </c>
      <c r="G659" s="278" t="s">
        <v>1044</v>
      </c>
      <c r="H659" s="278">
        <f t="shared" si="17"/>
        <v>96</v>
      </c>
      <c r="I659" s="273">
        <v>4</v>
      </c>
      <c r="J659" s="273">
        <v>110</v>
      </c>
      <c r="K659" s="273">
        <v>474</v>
      </c>
      <c r="L659" s="280" t="s">
        <v>1462</v>
      </c>
      <c r="M659" s="273" t="s">
        <v>501</v>
      </c>
    </row>
    <row r="660" spans="2:13" x14ac:dyDescent="0.25">
      <c r="B660" s="273" t="s">
        <v>1888</v>
      </c>
      <c r="C660" s="273" t="s">
        <v>1009</v>
      </c>
      <c r="D660" s="273" t="s">
        <v>1526</v>
      </c>
      <c r="E660" s="273" t="s">
        <v>1823</v>
      </c>
      <c r="F660" s="277" t="s">
        <v>1889</v>
      </c>
      <c r="G660" s="278" t="s">
        <v>559</v>
      </c>
      <c r="H660" s="278">
        <f t="shared" si="17"/>
        <v>96</v>
      </c>
      <c r="I660" s="273">
        <v>4</v>
      </c>
      <c r="J660" s="273">
        <v>110</v>
      </c>
      <c r="K660" s="273">
        <v>390</v>
      </c>
      <c r="L660" s="280" t="s">
        <v>1462</v>
      </c>
      <c r="M660" s="273" t="s">
        <v>501</v>
      </c>
    </row>
    <row r="661" spans="2:13" x14ac:dyDescent="0.25">
      <c r="B661" s="273" t="s">
        <v>1890</v>
      </c>
      <c r="C661" s="273" t="s">
        <v>1009</v>
      </c>
      <c r="D661" s="273" t="s">
        <v>1526</v>
      </c>
      <c r="E661" s="273" t="s">
        <v>1823</v>
      </c>
      <c r="F661" s="277" t="s">
        <v>1887</v>
      </c>
      <c r="G661" s="278" t="s">
        <v>633</v>
      </c>
      <c r="H661" s="278">
        <f t="shared" si="17"/>
        <v>96</v>
      </c>
      <c r="I661" s="273">
        <v>4</v>
      </c>
      <c r="J661" s="273">
        <v>110</v>
      </c>
      <c r="K661" s="273">
        <v>514</v>
      </c>
      <c r="L661" s="280" t="s">
        <v>1462</v>
      </c>
      <c r="M661" s="273" t="s">
        <v>501</v>
      </c>
    </row>
    <row r="662" spans="2:13" x14ac:dyDescent="0.25">
      <c r="B662" s="273" t="s">
        <v>1891</v>
      </c>
      <c r="C662" s="273" t="s">
        <v>1009</v>
      </c>
      <c r="D662" s="273" t="s">
        <v>1526</v>
      </c>
      <c r="E662" s="273" t="s">
        <v>1820</v>
      </c>
      <c r="F662" s="277" t="s">
        <v>1892</v>
      </c>
      <c r="G662" s="278" t="s">
        <v>559</v>
      </c>
      <c r="H662" s="278">
        <f t="shared" si="17"/>
        <v>96</v>
      </c>
      <c r="I662" s="273">
        <v>4</v>
      </c>
      <c r="J662" s="273">
        <v>75</v>
      </c>
      <c r="K662" s="273">
        <v>268</v>
      </c>
      <c r="L662" s="280" t="s">
        <v>1460</v>
      </c>
      <c r="M662" s="273" t="s">
        <v>501</v>
      </c>
    </row>
    <row r="663" spans="2:13" x14ac:dyDescent="0.25">
      <c r="B663" s="273" t="s">
        <v>1893</v>
      </c>
      <c r="C663" s="273" t="s">
        <v>1009</v>
      </c>
      <c r="D663" s="273" t="s">
        <v>1526</v>
      </c>
      <c r="E663" s="273" t="s">
        <v>1820</v>
      </c>
      <c r="F663" s="277" t="s">
        <v>1885</v>
      </c>
      <c r="G663" s="278" t="s">
        <v>633</v>
      </c>
      <c r="H663" s="278">
        <f t="shared" si="17"/>
        <v>96</v>
      </c>
      <c r="I663" s="273">
        <v>4</v>
      </c>
      <c r="J663" s="273">
        <v>75</v>
      </c>
      <c r="K663" s="273">
        <v>346</v>
      </c>
      <c r="L663" s="280" t="s">
        <v>1460</v>
      </c>
      <c r="M663" s="273" t="s">
        <v>501</v>
      </c>
    </row>
    <row r="664" spans="2:13" x14ac:dyDescent="0.25">
      <c r="B664" s="273" t="s">
        <v>1894</v>
      </c>
      <c r="C664" s="273" t="s">
        <v>1009</v>
      </c>
      <c r="D664" s="273" t="s">
        <v>1526</v>
      </c>
      <c r="E664" s="273" t="s">
        <v>1834</v>
      </c>
      <c r="F664" s="277" t="s">
        <v>1895</v>
      </c>
      <c r="G664" s="278" t="s">
        <v>633</v>
      </c>
      <c r="H664" s="278">
        <f t="shared" si="17"/>
        <v>96</v>
      </c>
      <c r="I664" s="273">
        <v>4</v>
      </c>
      <c r="J664" s="273">
        <v>215</v>
      </c>
      <c r="K664" s="273">
        <v>900</v>
      </c>
      <c r="L664" s="280" t="s">
        <v>1462</v>
      </c>
      <c r="M664" s="273" t="s">
        <v>501</v>
      </c>
    </row>
    <row r="665" spans="2:13" x14ac:dyDescent="0.25">
      <c r="B665" s="273" t="s">
        <v>1896</v>
      </c>
      <c r="C665" s="273" t="s">
        <v>1009</v>
      </c>
      <c r="D665" s="273" t="s">
        <v>1526</v>
      </c>
      <c r="E665" s="273" t="s">
        <v>1806</v>
      </c>
      <c r="F665" s="277" t="s">
        <v>1897</v>
      </c>
      <c r="G665" s="278" t="s">
        <v>633</v>
      </c>
      <c r="H665" s="278">
        <f t="shared" si="17"/>
        <v>96</v>
      </c>
      <c r="I665" s="273">
        <v>6</v>
      </c>
      <c r="J665" s="273">
        <v>95</v>
      </c>
      <c r="K665" s="273">
        <v>721</v>
      </c>
      <c r="L665" s="280" t="s">
        <v>2943</v>
      </c>
      <c r="M665" s="273" t="s">
        <v>501</v>
      </c>
    </row>
    <row r="666" spans="2:13" x14ac:dyDescent="0.25">
      <c r="B666" s="273" t="s">
        <v>1898</v>
      </c>
      <c r="C666" s="273" t="s">
        <v>1009</v>
      </c>
      <c r="D666" s="273" t="s">
        <v>1526</v>
      </c>
      <c r="E666" s="273" t="s">
        <v>1801</v>
      </c>
      <c r="F666" s="277" t="s">
        <v>1899</v>
      </c>
      <c r="G666" s="278" t="s">
        <v>1044</v>
      </c>
      <c r="H666" s="278">
        <f t="shared" si="17"/>
        <v>96</v>
      </c>
      <c r="I666" s="273">
        <v>6</v>
      </c>
      <c r="J666" s="273">
        <v>60</v>
      </c>
      <c r="K666" s="273">
        <v>369</v>
      </c>
      <c r="L666" s="280" t="s">
        <v>1464</v>
      </c>
      <c r="M666" s="273" t="s">
        <v>501</v>
      </c>
    </row>
    <row r="667" spans="2:13" x14ac:dyDescent="0.25">
      <c r="B667" s="273" t="s">
        <v>1900</v>
      </c>
      <c r="C667" s="273" t="s">
        <v>1009</v>
      </c>
      <c r="D667" s="273" t="s">
        <v>1526</v>
      </c>
      <c r="E667" s="273" t="s">
        <v>1801</v>
      </c>
      <c r="F667" s="277" t="s">
        <v>1899</v>
      </c>
      <c r="G667" s="278" t="s">
        <v>559</v>
      </c>
      <c r="H667" s="278">
        <f t="shared" si="17"/>
        <v>96</v>
      </c>
      <c r="I667" s="273">
        <v>6</v>
      </c>
      <c r="J667" s="273">
        <v>60</v>
      </c>
      <c r="K667" s="273">
        <v>330</v>
      </c>
      <c r="L667" s="280" t="s">
        <v>1464</v>
      </c>
      <c r="M667" s="273" t="s">
        <v>501</v>
      </c>
    </row>
    <row r="668" spans="2:13" x14ac:dyDescent="0.25">
      <c r="B668" s="273" t="s">
        <v>1901</v>
      </c>
      <c r="C668" s="273" t="s">
        <v>1009</v>
      </c>
      <c r="D668" s="273" t="s">
        <v>1902</v>
      </c>
      <c r="E668" s="273" t="s">
        <v>1903</v>
      </c>
      <c r="F668" s="277" t="s">
        <v>1904</v>
      </c>
      <c r="G668" s="278" t="s">
        <v>633</v>
      </c>
      <c r="H668" s="278">
        <f t="shared" si="17"/>
        <v>48</v>
      </c>
      <c r="I668" s="273">
        <v>1</v>
      </c>
      <c r="J668" s="273">
        <v>40</v>
      </c>
      <c r="K668" s="273">
        <v>51</v>
      </c>
      <c r="L668" s="280" t="s">
        <v>1150</v>
      </c>
      <c r="M668" s="273" t="s">
        <v>501</v>
      </c>
    </row>
    <row r="669" spans="2:13" x14ac:dyDescent="0.25">
      <c r="B669" s="273" t="s">
        <v>1905</v>
      </c>
      <c r="C669" s="273" t="s">
        <v>1906</v>
      </c>
      <c r="D669" s="273" t="s">
        <v>1906</v>
      </c>
      <c r="E669" s="273" t="s">
        <v>1907</v>
      </c>
      <c r="F669" s="277" t="s">
        <v>1908</v>
      </c>
      <c r="G669" s="278" t="s">
        <v>1044</v>
      </c>
      <c r="H669" s="278">
        <v>24</v>
      </c>
      <c r="I669" s="273">
        <v>1</v>
      </c>
      <c r="J669" s="273">
        <v>34</v>
      </c>
      <c r="K669" s="273">
        <v>43</v>
      </c>
      <c r="L669" s="273" t="s">
        <v>1905</v>
      </c>
      <c r="M669" s="273" t="s">
        <v>501</v>
      </c>
    </row>
    <row r="670" spans="2:13" x14ac:dyDescent="0.25">
      <c r="B670" s="273" t="s">
        <v>1909</v>
      </c>
      <c r="C670" s="273" t="s">
        <v>1906</v>
      </c>
      <c r="D670" s="273" t="s">
        <v>1906</v>
      </c>
      <c r="E670" s="273" t="s">
        <v>1910</v>
      </c>
      <c r="F670" s="277" t="s">
        <v>1911</v>
      </c>
      <c r="G670" s="278" t="s">
        <v>559</v>
      </c>
      <c r="H670" s="278">
        <v>24</v>
      </c>
      <c r="I670" s="273">
        <v>1</v>
      </c>
      <c r="J670" s="273">
        <v>32</v>
      </c>
      <c r="K670" s="273">
        <v>31</v>
      </c>
      <c r="L670" s="273" t="s">
        <v>1909</v>
      </c>
      <c r="M670" s="273" t="s">
        <v>501</v>
      </c>
    </row>
    <row r="671" spans="2:13" x14ac:dyDescent="0.25">
      <c r="B671" s="273" t="s">
        <v>1912</v>
      </c>
      <c r="C671" s="273" t="s">
        <v>1906</v>
      </c>
      <c r="D671" s="273" t="s">
        <v>1906</v>
      </c>
      <c r="E671" s="273" t="s">
        <v>1910</v>
      </c>
      <c r="F671" s="277" t="s">
        <v>1913</v>
      </c>
      <c r="G671" s="278" t="s">
        <v>559</v>
      </c>
      <c r="H671" s="278">
        <v>24</v>
      </c>
      <c r="I671" s="273">
        <v>1</v>
      </c>
      <c r="J671" s="273">
        <v>32</v>
      </c>
      <c r="K671" s="273">
        <v>32</v>
      </c>
      <c r="L671" s="273" t="s">
        <v>1912</v>
      </c>
      <c r="M671" s="273" t="s">
        <v>501</v>
      </c>
    </row>
    <row r="672" spans="2:13" x14ac:dyDescent="0.25">
      <c r="B672" s="273" t="s">
        <v>1914</v>
      </c>
      <c r="C672" s="273" t="s">
        <v>1906</v>
      </c>
      <c r="D672" s="273" t="s">
        <v>1906</v>
      </c>
      <c r="E672" s="273" t="s">
        <v>1910</v>
      </c>
      <c r="F672" s="277" t="s">
        <v>1915</v>
      </c>
      <c r="G672" s="273" t="s">
        <v>559</v>
      </c>
      <c r="H672" s="278">
        <v>24</v>
      </c>
      <c r="I672" s="273">
        <v>1</v>
      </c>
      <c r="J672" s="273">
        <v>31</v>
      </c>
      <c r="K672" s="281">
        <v>27</v>
      </c>
      <c r="L672" s="281" t="s">
        <v>1914</v>
      </c>
      <c r="M672" s="273" t="s">
        <v>501</v>
      </c>
    </row>
    <row r="673" spans="2:13" x14ac:dyDescent="0.25">
      <c r="B673" s="273" t="s">
        <v>1916</v>
      </c>
      <c r="C673" s="273" t="s">
        <v>1906</v>
      </c>
      <c r="D673" s="273" t="s">
        <v>1906</v>
      </c>
      <c r="E673" s="273" t="s">
        <v>1917</v>
      </c>
      <c r="F673" s="277" t="s">
        <v>1918</v>
      </c>
      <c r="G673" s="278" t="s">
        <v>633</v>
      </c>
      <c r="H673" s="278">
        <v>24</v>
      </c>
      <c r="I673" s="273">
        <v>2</v>
      </c>
      <c r="J673" s="273">
        <v>40</v>
      </c>
      <c r="K673" s="273">
        <v>96</v>
      </c>
      <c r="L673" s="273" t="s">
        <v>1916</v>
      </c>
      <c r="M673" s="273" t="s">
        <v>501</v>
      </c>
    </row>
    <row r="674" spans="2:13" x14ac:dyDescent="0.25">
      <c r="B674" s="273" t="s">
        <v>1919</v>
      </c>
      <c r="C674" s="273" t="s">
        <v>1906</v>
      </c>
      <c r="D674" s="273" t="s">
        <v>1906</v>
      </c>
      <c r="E674" s="273" t="s">
        <v>1917</v>
      </c>
      <c r="F674" s="277" t="s">
        <v>1918</v>
      </c>
      <c r="G674" s="278" t="s">
        <v>1044</v>
      </c>
      <c r="H674" s="278">
        <v>24</v>
      </c>
      <c r="I674" s="273">
        <v>2</v>
      </c>
      <c r="J674" s="273">
        <v>40</v>
      </c>
      <c r="K674" s="273">
        <v>85</v>
      </c>
      <c r="L674" s="273" t="s">
        <v>1919</v>
      </c>
      <c r="M674" s="273" t="s">
        <v>501</v>
      </c>
    </row>
    <row r="675" spans="2:13" x14ac:dyDescent="0.25">
      <c r="B675" s="273" t="s">
        <v>1920</v>
      </c>
      <c r="C675" s="273" t="s">
        <v>1906</v>
      </c>
      <c r="D675" s="273" t="s">
        <v>1906</v>
      </c>
      <c r="E675" s="273" t="s">
        <v>1907</v>
      </c>
      <c r="F675" s="277" t="s">
        <v>1921</v>
      </c>
      <c r="G675" s="278" t="s">
        <v>1044</v>
      </c>
      <c r="H675" s="278">
        <v>24</v>
      </c>
      <c r="I675" s="273">
        <v>2</v>
      </c>
      <c r="J675" s="273">
        <v>34</v>
      </c>
      <c r="K675" s="273">
        <v>72</v>
      </c>
      <c r="L675" s="273" t="s">
        <v>1920</v>
      </c>
      <c r="M675" s="273" t="s">
        <v>501</v>
      </c>
    </row>
    <row r="676" spans="2:13" x14ac:dyDescent="0.25">
      <c r="B676" s="273" t="s">
        <v>1922</v>
      </c>
      <c r="C676" s="273" t="s">
        <v>1906</v>
      </c>
      <c r="D676" s="273" t="s">
        <v>1906</v>
      </c>
      <c r="E676" s="273" t="s">
        <v>1907</v>
      </c>
      <c r="F676" s="277" t="s">
        <v>1921</v>
      </c>
      <c r="G676" s="278" t="s">
        <v>633</v>
      </c>
      <c r="H676" s="278">
        <v>24</v>
      </c>
      <c r="I676" s="273">
        <v>2</v>
      </c>
      <c r="J676" s="273">
        <v>34</v>
      </c>
      <c r="K676" s="273">
        <v>82</v>
      </c>
      <c r="L676" s="273" t="s">
        <v>1922</v>
      </c>
      <c r="M676" s="273" t="s">
        <v>501</v>
      </c>
    </row>
    <row r="677" spans="2:13" x14ac:dyDescent="0.25">
      <c r="B677" s="273" t="s">
        <v>1923</v>
      </c>
      <c r="C677" s="273" t="s">
        <v>1906</v>
      </c>
      <c r="D677" s="273" t="s">
        <v>1906</v>
      </c>
      <c r="E677" s="273" t="s">
        <v>1910</v>
      </c>
      <c r="F677" s="277" t="s">
        <v>1924</v>
      </c>
      <c r="G677" s="278" t="s">
        <v>559</v>
      </c>
      <c r="H677" s="278">
        <v>24</v>
      </c>
      <c r="I677" s="273">
        <v>2</v>
      </c>
      <c r="J677" s="273">
        <v>32</v>
      </c>
      <c r="K677" s="273">
        <v>59</v>
      </c>
      <c r="L677" s="273" t="s">
        <v>1923</v>
      </c>
      <c r="M677" s="273" t="s">
        <v>501</v>
      </c>
    </row>
    <row r="678" spans="2:13" x14ac:dyDescent="0.25">
      <c r="B678" s="273" t="s">
        <v>1925</v>
      </c>
      <c r="C678" s="273" t="s">
        <v>1906</v>
      </c>
      <c r="D678" s="273" t="s">
        <v>1906</v>
      </c>
      <c r="E678" s="273" t="s">
        <v>1910</v>
      </c>
      <c r="F678" s="277" t="s">
        <v>1926</v>
      </c>
      <c r="G678" s="278" t="s">
        <v>559</v>
      </c>
      <c r="H678" s="278">
        <v>24</v>
      </c>
      <c r="I678" s="273">
        <v>2</v>
      </c>
      <c r="J678" s="273">
        <v>32</v>
      </c>
      <c r="K678" s="273">
        <v>56</v>
      </c>
      <c r="L678" s="273" t="s">
        <v>1925</v>
      </c>
      <c r="M678" s="273" t="s">
        <v>501</v>
      </c>
    </row>
    <row r="679" spans="2:13" x14ac:dyDescent="0.25">
      <c r="B679" s="273" t="s">
        <v>1927</v>
      </c>
      <c r="C679" s="273" t="s">
        <v>1906</v>
      </c>
      <c r="D679" s="273" t="s">
        <v>1906</v>
      </c>
      <c r="E679" s="273" t="s">
        <v>1910</v>
      </c>
      <c r="F679" s="277" t="s">
        <v>1928</v>
      </c>
      <c r="G679" s="278" t="s">
        <v>559</v>
      </c>
      <c r="H679" s="278">
        <v>24</v>
      </c>
      <c r="I679" s="273">
        <v>2</v>
      </c>
      <c r="J679" s="273">
        <v>32</v>
      </c>
      <c r="K679" s="273">
        <v>51</v>
      </c>
      <c r="L679" s="273" t="s">
        <v>1927</v>
      </c>
      <c r="M679" s="273" t="s">
        <v>501</v>
      </c>
    </row>
    <row r="680" spans="2:13" x14ac:dyDescent="0.25">
      <c r="B680" s="273" t="s">
        <v>1929</v>
      </c>
      <c r="C680" s="273" t="s">
        <v>1906</v>
      </c>
      <c r="D680" s="273" t="s">
        <v>1906</v>
      </c>
      <c r="E680" s="273" t="s">
        <v>1910</v>
      </c>
      <c r="F680" s="277" t="s">
        <v>1930</v>
      </c>
      <c r="G680" s="278" t="s">
        <v>559</v>
      </c>
      <c r="H680" s="278">
        <v>24</v>
      </c>
      <c r="I680" s="273">
        <v>2</v>
      </c>
      <c r="J680" s="273">
        <v>32</v>
      </c>
      <c r="K680" s="273">
        <v>65</v>
      </c>
      <c r="L680" s="273" t="s">
        <v>1929</v>
      </c>
      <c r="M680" s="273" t="s">
        <v>501</v>
      </c>
    </row>
    <row r="681" spans="2:13" x14ac:dyDescent="0.25">
      <c r="B681" s="273" t="s">
        <v>1931</v>
      </c>
      <c r="C681" s="273" t="s">
        <v>1906</v>
      </c>
      <c r="D681" s="273" t="s">
        <v>1906</v>
      </c>
      <c r="E681" s="273" t="s">
        <v>1910</v>
      </c>
      <c r="F681" s="277" t="s">
        <v>1932</v>
      </c>
      <c r="G681" s="278" t="s">
        <v>559</v>
      </c>
      <c r="H681" s="278">
        <v>24</v>
      </c>
      <c r="I681" s="273">
        <v>2</v>
      </c>
      <c r="J681" s="273">
        <v>32</v>
      </c>
      <c r="K681" s="273">
        <v>52</v>
      </c>
      <c r="L681" s="273" t="s">
        <v>1931</v>
      </c>
      <c r="M681" s="273" t="s">
        <v>501</v>
      </c>
    </row>
    <row r="682" spans="2:13" x14ac:dyDescent="0.25">
      <c r="B682" s="273" t="s">
        <v>1933</v>
      </c>
      <c r="C682" s="273" t="s">
        <v>1906</v>
      </c>
      <c r="D682" s="273" t="s">
        <v>1906</v>
      </c>
      <c r="E682" s="273" t="s">
        <v>1910</v>
      </c>
      <c r="F682" s="277" t="s">
        <v>1934</v>
      </c>
      <c r="G682" s="278" t="s">
        <v>559</v>
      </c>
      <c r="H682" s="278">
        <v>24</v>
      </c>
      <c r="I682" s="273">
        <v>2</v>
      </c>
      <c r="J682" s="273">
        <v>32</v>
      </c>
      <c r="K682" s="273">
        <v>60</v>
      </c>
      <c r="L682" s="273" t="s">
        <v>1933</v>
      </c>
      <c r="M682" s="273" t="s">
        <v>501</v>
      </c>
    </row>
    <row r="683" spans="2:13" x14ac:dyDescent="0.25">
      <c r="B683" s="273" t="s">
        <v>1935</v>
      </c>
      <c r="C683" s="273" t="s">
        <v>1906</v>
      </c>
      <c r="D683" s="273" t="s">
        <v>1906</v>
      </c>
      <c r="E683" s="273" t="s">
        <v>1910</v>
      </c>
      <c r="F683" s="277" t="s">
        <v>1936</v>
      </c>
      <c r="G683" s="278" t="s">
        <v>559</v>
      </c>
      <c r="H683" s="278">
        <v>24</v>
      </c>
      <c r="I683" s="273">
        <v>2</v>
      </c>
      <c r="J683" s="273">
        <v>32</v>
      </c>
      <c r="K683" s="273">
        <v>59</v>
      </c>
      <c r="L683" s="273" t="s">
        <v>1935</v>
      </c>
      <c r="M683" s="273" t="s">
        <v>501</v>
      </c>
    </row>
    <row r="684" spans="2:13" x14ac:dyDescent="0.25">
      <c r="B684" s="273" t="s">
        <v>1937</v>
      </c>
      <c r="C684" s="273" t="s">
        <v>1906</v>
      </c>
      <c r="D684" s="273" t="s">
        <v>1906</v>
      </c>
      <c r="E684" s="273" t="s">
        <v>1910</v>
      </c>
      <c r="F684" s="277" t="s">
        <v>1938</v>
      </c>
      <c r="G684" s="273" t="s">
        <v>559</v>
      </c>
      <c r="H684" s="278">
        <v>24</v>
      </c>
      <c r="I684" s="282">
        <v>2</v>
      </c>
      <c r="J684" s="273">
        <v>31</v>
      </c>
      <c r="K684" s="281">
        <v>54</v>
      </c>
      <c r="L684" s="281" t="s">
        <v>1937</v>
      </c>
      <c r="M684" s="273" t="s">
        <v>501</v>
      </c>
    </row>
    <row r="685" spans="2:13" x14ac:dyDescent="0.25">
      <c r="B685" s="273" t="s">
        <v>1939</v>
      </c>
      <c r="C685" s="273" t="s">
        <v>1906</v>
      </c>
      <c r="D685" s="273" t="s">
        <v>1906</v>
      </c>
      <c r="E685" s="273" t="s">
        <v>1907</v>
      </c>
      <c r="F685" s="277" t="s">
        <v>1940</v>
      </c>
      <c r="G685" s="278" t="s">
        <v>1044</v>
      </c>
      <c r="H685" s="278">
        <v>24</v>
      </c>
      <c r="I685" s="273">
        <v>3</v>
      </c>
      <c r="J685" s="273">
        <v>35</v>
      </c>
      <c r="K685" s="273">
        <v>115</v>
      </c>
      <c r="L685" s="273" t="s">
        <v>1939</v>
      </c>
      <c r="M685" s="273" t="s">
        <v>501</v>
      </c>
    </row>
    <row r="686" spans="2:13" x14ac:dyDescent="0.25">
      <c r="B686" s="273" t="s">
        <v>1941</v>
      </c>
      <c r="C686" s="273" t="s">
        <v>1906</v>
      </c>
      <c r="D686" s="273" t="s">
        <v>1906</v>
      </c>
      <c r="E686" s="273" t="s">
        <v>1910</v>
      </c>
      <c r="F686" s="277" t="s">
        <v>1942</v>
      </c>
      <c r="G686" s="278" t="s">
        <v>559</v>
      </c>
      <c r="H686" s="278">
        <v>24</v>
      </c>
      <c r="I686" s="273">
        <v>3</v>
      </c>
      <c r="J686" s="273">
        <v>32</v>
      </c>
      <c r="K686" s="273">
        <v>89</v>
      </c>
      <c r="L686" s="273" t="s">
        <v>1941</v>
      </c>
      <c r="M686" s="273" t="s">
        <v>501</v>
      </c>
    </row>
    <row r="687" spans="2:13" x14ac:dyDescent="0.25">
      <c r="B687" s="273" t="s">
        <v>1943</v>
      </c>
      <c r="C687" s="273" t="s">
        <v>1906</v>
      </c>
      <c r="D687" s="273" t="s">
        <v>1906</v>
      </c>
      <c r="E687" s="273" t="s">
        <v>1910</v>
      </c>
      <c r="F687" s="277" t="s">
        <v>1944</v>
      </c>
      <c r="G687" s="278" t="s">
        <v>559</v>
      </c>
      <c r="H687" s="278">
        <v>24</v>
      </c>
      <c r="I687" s="273">
        <v>3</v>
      </c>
      <c r="J687" s="273">
        <v>32</v>
      </c>
      <c r="K687" s="273">
        <v>78</v>
      </c>
      <c r="L687" s="273" t="s">
        <v>1943</v>
      </c>
      <c r="M687" s="273" t="s">
        <v>501</v>
      </c>
    </row>
    <row r="688" spans="2:13" x14ac:dyDescent="0.25">
      <c r="B688" s="273" t="s">
        <v>1945</v>
      </c>
      <c r="C688" s="273" t="s">
        <v>1946</v>
      </c>
      <c r="D688" s="273" t="s">
        <v>1946</v>
      </c>
      <c r="E688" s="273" t="s">
        <v>1947</v>
      </c>
      <c r="F688" s="277" t="s">
        <v>1948</v>
      </c>
      <c r="G688" s="278" t="s">
        <v>633</v>
      </c>
      <c r="H688" s="278">
        <v>12</v>
      </c>
      <c r="I688" s="273">
        <v>1</v>
      </c>
      <c r="J688" s="273">
        <v>32</v>
      </c>
      <c r="K688" s="273">
        <v>31</v>
      </c>
      <c r="L688" s="273" t="s">
        <v>1945</v>
      </c>
      <c r="M688" s="273" t="s">
        <v>501</v>
      </c>
    </row>
    <row r="689" spans="2:13" x14ac:dyDescent="0.25">
      <c r="B689" s="273" t="s">
        <v>1949</v>
      </c>
      <c r="C689" s="273" t="s">
        <v>1946</v>
      </c>
      <c r="D689" s="273" t="s">
        <v>1946</v>
      </c>
      <c r="E689" s="273" t="s">
        <v>1950</v>
      </c>
      <c r="F689" s="277" t="s">
        <v>1951</v>
      </c>
      <c r="G689" s="278" t="s">
        <v>633</v>
      </c>
      <c r="H689" s="278">
        <v>16</v>
      </c>
      <c r="I689" s="273">
        <v>1</v>
      </c>
      <c r="J689" s="273">
        <v>40</v>
      </c>
      <c r="K689" s="273">
        <v>35</v>
      </c>
      <c r="L689" s="273" t="s">
        <v>1949</v>
      </c>
      <c r="M689" s="273" t="s">
        <v>501</v>
      </c>
    </row>
    <row r="690" spans="2:13" x14ac:dyDescent="0.25">
      <c r="B690" s="273" t="s">
        <v>1952</v>
      </c>
      <c r="C690" s="273" t="s">
        <v>1946</v>
      </c>
      <c r="D690" s="273" t="s">
        <v>1946</v>
      </c>
      <c r="E690" s="273" t="s">
        <v>1953</v>
      </c>
      <c r="F690" s="277" t="s">
        <v>1954</v>
      </c>
      <c r="G690" s="278" t="s">
        <v>633</v>
      </c>
      <c r="H690" s="278"/>
      <c r="I690" s="273">
        <v>1</v>
      </c>
      <c r="J690" s="273">
        <v>20</v>
      </c>
      <c r="K690" s="273">
        <v>20</v>
      </c>
      <c r="L690" s="273" t="s">
        <v>1952</v>
      </c>
      <c r="M690" s="273" t="s">
        <v>501</v>
      </c>
    </row>
    <row r="691" spans="2:13" x14ac:dyDescent="0.25">
      <c r="B691" s="273" t="s">
        <v>1955</v>
      </c>
      <c r="C691" s="273" t="s">
        <v>1946</v>
      </c>
      <c r="D691" s="273" t="s">
        <v>1946</v>
      </c>
      <c r="E691" s="273" t="s">
        <v>1956</v>
      </c>
      <c r="F691" s="277" t="s">
        <v>1957</v>
      </c>
      <c r="G691" s="278" t="s">
        <v>633</v>
      </c>
      <c r="H691" s="278"/>
      <c r="I691" s="273">
        <v>1</v>
      </c>
      <c r="J691" s="273">
        <v>22</v>
      </c>
      <c r="K691" s="273">
        <v>20</v>
      </c>
      <c r="L691" s="273" t="s">
        <v>1955</v>
      </c>
      <c r="M691" s="273" t="s">
        <v>501</v>
      </c>
    </row>
    <row r="692" spans="2:13" x14ac:dyDescent="0.25">
      <c r="B692" s="273" t="s">
        <v>1958</v>
      </c>
      <c r="C692" s="273" t="s">
        <v>1946</v>
      </c>
      <c r="D692" s="273" t="s">
        <v>1946</v>
      </c>
      <c r="E692" s="273" t="s">
        <v>1959</v>
      </c>
      <c r="F692" s="277" t="s">
        <v>1960</v>
      </c>
      <c r="G692" s="278" t="s">
        <v>633</v>
      </c>
      <c r="H692" s="278"/>
      <c r="I692" s="273">
        <v>1</v>
      </c>
      <c r="J692" s="273" t="s">
        <v>1961</v>
      </c>
      <c r="K692" s="273">
        <v>58</v>
      </c>
      <c r="L692" s="273" t="s">
        <v>1958</v>
      </c>
      <c r="M692" s="273" t="s">
        <v>501</v>
      </c>
    </row>
    <row r="693" spans="2:13" x14ac:dyDescent="0.25">
      <c r="B693" s="273" t="s">
        <v>1962</v>
      </c>
      <c r="C693" s="273" t="s">
        <v>1946</v>
      </c>
      <c r="D693" s="273" t="s">
        <v>1946</v>
      </c>
      <c r="E693" s="273" t="s">
        <v>1947</v>
      </c>
      <c r="F693" s="277" t="s">
        <v>1963</v>
      </c>
      <c r="G693" s="278" t="s">
        <v>633</v>
      </c>
      <c r="H693" s="278"/>
      <c r="I693" s="273">
        <v>1</v>
      </c>
      <c r="J693" s="273">
        <v>32</v>
      </c>
      <c r="K693" s="273">
        <v>40</v>
      </c>
      <c r="L693" s="273" t="s">
        <v>1962</v>
      </c>
      <c r="M693" s="273" t="s">
        <v>501</v>
      </c>
    </row>
    <row r="694" spans="2:13" x14ac:dyDescent="0.25">
      <c r="B694" s="273" t="s">
        <v>1964</v>
      </c>
      <c r="C694" s="273" t="s">
        <v>1946</v>
      </c>
      <c r="D694" s="273" t="s">
        <v>1946</v>
      </c>
      <c r="E694" s="273" t="s">
        <v>1965</v>
      </c>
      <c r="F694" s="277" t="s">
        <v>1966</v>
      </c>
      <c r="G694" s="278" t="s">
        <v>633</v>
      </c>
      <c r="H694" s="278"/>
      <c r="I694" s="273">
        <v>1</v>
      </c>
      <c r="J694" s="273" t="s">
        <v>1967</v>
      </c>
      <c r="K694" s="273">
        <v>80</v>
      </c>
      <c r="L694" s="273" t="s">
        <v>1964</v>
      </c>
      <c r="M694" s="273" t="s">
        <v>501</v>
      </c>
    </row>
    <row r="695" spans="2:13" x14ac:dyDescent="0.25">
      <c r="B695" s="273" t="s">
        <v>1968</v>
      </c>
      <c r="C695" s="273" t="s">
        <v>1946</v>
      </c>
      <c r="D695" s="273" t="s">
        <v>1946</v>
      </c>
      <c r="E695" s="273" t="s">
        <v>1950</v>
      </c>
      <c r="F695" s="277" t="s">
        <v>1963</v>
      </c>
      <c r="G695" s="278" t="s">
        <v>633</v>
      </c>
      <c r="H695" s="278"/>
      <c r="I695" s="273">
        <v>1</v>
      </c>
      <c r="J695" s="273">
        <v>32</v>
      </c>
      <c r="K695" s="273">
        <v>42</v>
      </c>
      <c r="L695" s="273" t="s">
        <v>1968</v>
      </c>
      <c r="M695" s="273" t="s">
        <v>501</v>
      </c>
    </row>
    <row r="696" spans="2:13" x14ac:dyDescent="0.25">
      <c r="B696" s="273" t="s">
        <v>1969</v>
      </c>
      <c r="C696" s="273" t="s">
        <v>1946</v>
      </c>
      <c r="D696" s="273" t="s">
        <v>1946</v>
      </c>
      <c r="E696" s="273" t="s">
        <v>1970</v>
      </c>
      <c r="F696" s="277" t="s">
        <v>1971</v>
      </c>
      <c r="G696" s="278" t="s">
        <v>633</v>
      </c>
      <c r="H696" s="278"/>
      <c r="I696" s="273">
        <v>1</v>
      </c>
      <c r="J696" s="273">
        <v>44</v>
      </c>
      <c r="K696" s="273">
        <v>46</v>
      </c>
      <c r="L696" s="273" t="s">
        <v>1969</v>
      </c>
      <c r="M696" s="273" t="s">
        <v>501</v>
      </c>
    </row>
    <row r="697" spans="2:13" x14ac:dyDescent="0.25">
      <c r="B697" s="273" t="s">
        <v>1972</v>
      </c>
      <c r="C697" s="273" t="s">
        <v>1946</v>
      </c>
      <c r="D697" s="273" t="s">
        <v>1946</v>
      </c>
      <c r="E697" s="273" t="s">
        <v>1953</v>
      </c>
      <c r="F697" s="277" t="s">
        <v>1973</v>
      </c>
      <c r="G697" s="278" t="s">
        <v>633</v>
      </c>
      <c r="H697" s="278">
        <v>6</v>
      </c>
      <c r="I697" s="273">
        <v>1</v>
      </c>
      <c r="J697" s="273">
        <v>20</v>
      </c>
      <c r="K697" s="273">
        <v>25</v>
      </c>
      <c r="L697" s="273" t="s">
        <v>1972</v>
      </c>
      <c r="M697" s="273" t="s">
        <v>501</v>
      </c>
    </row>
    <row r="698" spans="2:13" x14ac:dyDescent="0.25">
      <c r="B698" s="273" t="s">
        <v>1974</v>
      </c>
      <c r="C698" s="273" t="s">
        <v>1946</v>
      </c>
      <c r="D698" s="273" t="s">
        <v>1946</v>
      </c>
      <c r="E698" s="273" t="s">
        <v>1956</v>
      </c>
      <c r="F698" s="277" t="s">
        <v>1975</v>
      </c>
      <c r="G698" s="278" t="s">
        <v>633</v>
      </c>
      <c r="H698" s="278">
        <v>8</v>
      </c>
      <c r="I698" s="273">
        <v>1</v>
      </c>
      <c r="J698" s="273">
        <v>22</v>
      </c>
      <c r="K698" s="273">
        <v>26</v>
      </c>
      <c r="L698" s="273" t="s">
        <v>1974</v>
      </c>
      <c r="M698" s="273" t="s">
        <v>501</v>
      </c>
    </row>
    <row r="699" spans="2:13" x14ac:dyDescent="0.25">
      <c r="B699" s="273" t="s">
        <v>1976</v>
      </c>
      <c r="C699" s="273" t="s">
        <v>1946</v>
      </c>
      <c r="D699" s="273" t="s">
        <v>1946</v>
      </c>
      <c r="E699" s="273" t="s">
        <v>1947</v>
      </c>
      <c r="F699" s="277" t="s">
        <v>1977</v>
      </c>
      <c r="G699" s="278" t="s">
        <v>633</v>
      </c>
      <c r="H699" s="278">
        <v>12</v>
      </c>
      <c r="I699" s="273">
        <v>2</v>
      </c>
      <c r="J699" s="273">
        <v>32</v>
      </c>
      <c r="K699" s="273">
        <v>62</v>
      </c>
      <c r="L699" s="273" t="s">
        <v>1976</v>
      </c>
      <c r="M699" s="273" t="s">
        <v>501</v>
      </c>
    </row>
    <row r="700" spans="2:13" x14ac:dyDescent="0.25">
      <c r="B700" s="273" t="s">
        <v>1978</v>
      </c>
      <c r="C700" s="273" t="s">
        <v>1946</v>
      </c>
      <c r="D700" s="273" t="s">
        <v>1946</v>
      </c>
      <c r="E700" s="273" t="s">
        <v>1956</v>
      </c>
      <c r="F700" s="277" t="s">
        <v>1979</v>
      </c>
      <c r="G700" s="278" t="s">
        <v>633</v>
      </c>
      <c r="H700" s="278">
        <v>8</v>
      </c>
      <c r="I700" s="273">
        <v>2</v>
      </c>
      <c r="J700" s="273">
        <v>22</v>
      </c>
      <c r="K700" s="273">
        <v>52</v>
      </c>
      <c r="L700" s="273" t="s">
        <v>1978</v>
      </c>
      <c r="M700" s="273" t="s">
        <v>501</v>
      </c>
    </row>
    <row r="701" spans="2:13" x14ac:dyDescent="0.25">
      <c r="B701" s="273" t="s">
        <v>1980</v>
      </c>
      <c r="C701" s="273" t="s">
        <v>1981</v>
      </c>
      <c r="D701" s="273" t="s">
        <v>1981</v>
      </c>
      <c r="E701" s="273" t="s">
        <v>1982</v>
      </c>
      <c r="F701" s="277" t="s">
        <v>1983</v>
      </c>
      <c r="G701" s="278" t="s">
        <v>1044</v>
      </c>
      <c r="H701" s="278"/>
      <c r="I701" s="273">
        <v>0</v>
      </c>
      <c r="J701" s="273">
        <v>0</v>
      </c>
      <c r="K701" s="273">
        <v>4</v>
      </c>
      <c r="L701" s="273" t="s">
        <v>1980</v>
      </c>
      <c r="M701" s="273" t="s">
        <v>501</v>
      </c>
    </row>
    <row r="702" spans="2:13" x14ac:dyDescent="0.25">
      <c r="B702" s="273" t="s">
        <v>1984</v>
      </c>
      <c r="C702" s="273" t="s">
        <v>1981</v>
      </c>
      <c r="D702" s="273" t="s">
        <v>1981</v>
      </c>
      <c r="E702" s="273" t="s">
        <v>1982</v>
      </c>
      <c r="F702" s="277" t="s">
        <v>1985</v>
      </c>
      <c r="G702" s="278" t="s">
        <v>1044</v>
      </c>
      <c r="H702" s="278"/>
      <c r="I702" s="273">
        <v>0</v>
      </c>
      <c r="J702" s="273">
        <v>0</v>
      </c>
      <c r="K702" s="273">
        <v>8</v>
      </c>
      <c r="L702" s="273" t="s">
        <v>1984</v>
      </c>
      <c r="M702" s="273" t="s">
        <v>501</v>
      </c>
    </row>
    <row r="703" spans="2:13" x14ac:dyDescent="0.25">
      <c r="B703" s="273" t="s">
        <v>1986</v>
      </c>
      <c r="C703" s="273" t="s">
        <v>1987</v>
      </c>
      <c r="D703" s="273" t="s">
        <v>1987</v>
      </c>
      <c r="E703" s="273" t="s">
        <v>756</v>
      </c>
      <c r="F703" s="277" t="s">
        <v>1988</v>
      </c>
      <c r="G703" s="278" t="s">
        <v>633</v>
      </c>
      <c r="H703" s="278"/>
      <c r="I703" s="273">
        <v>1</v>
      </c>
      <c r="J703" s="273">
        <v>5</v>
      </c>
      <c r="K703" s="273">
        <v>9</v>
      </c>
      <c r="L703" s="273" t="s">
        <v>1986</v>
      </c>
      <c r="M703" s="273" t="s">
        <v>501</v>
      </c>
    </row>
    <row r="704" spans="2:13" x14ac:dyDescent="0.25">
      <c r="B704" s="273" t="s">
        <v>1989</v>
      </c>
      <c r="C704" s="273" t="s">
        <v>1987</v>
      </c>
      <c r="D704" s="273" t="s">
        <v>1987</v>
      </c>
      <c r="E704" s="273" t="s">
        <v>766</v>
      </c>
      <c r="F704" s="277" t="s">
        <v>1990</v>
      </c>
      <c r="G704" s="278" t="s">
        <v>633</v>
      </c>
      <c r="H704" s="278"/>
      <c r="I704" s="273">
        <v>1</v>
      </c>
      <c r="J704" s="273">
        <v>7</v>
      </c>
      <c r="K704" s="273">
        <v>10</v>
      </c>
      <c r="L704" s="273" t="s">
        <v>1989</v>
      </c>
      <c r="M704" s="273" t="s">
        <v>501</v>
      </c>
    </row>
    <row r="705" spans="2:13" x14ac:dyDescent="0.25">
      <c r="B705" s="273" t="s">
        <v>1991</v>
      </c>
      <c r="C705" s="273" t="s">
        <v>1987</v>
      </c>
      <c r="D705" s="273" t="s">
        <v>1987</v>
      </c>
      <c r="E705" s="273" t="s">
        <v>1992</v>
      </c>
      <c r="F705" s="277" t="s">
        <v>1993</v>
      </c>
      <c r="G705" s="278" t="s">
        <v>633</v>
      </c>
      <c r="H705" s="278"/>
      <c r="I705" s="273">
        <v>1</v>
      </c>
      <c r="J705" s="273">
        <v>8</v>
      </c>
      <c r="K705" s="273">
        <v>12</v>
      </c>
      <c r="L705" s="273" t="s">
        <v>1991</v>
      </c>
      <c r="M705" s="273" t="s">
        <v>501</v>
      </c>
    </row>
    <row r="706" spans="2:13" x14ac:dyDescent="0.25">
      <c r="B706" s="273" t="s">
        <v>1994</v>
      </c>
      <c r="C706" s="273" t="s">
        <v>1987</v>
      </c>
      <c r="D706" s="273" t="s">
        <v>1987</v>
      </c>
      <c r="E706" s="273" t="s">
        <v>769</v>
      </c>
      <c r="F706" s="277" t="s">
        <v>1995</v>
      </c>
      <c r="G706" s="278" t="s">
        <v>633</v>
      </c>
      <c r="H706" s="278"/>
      <c r="I706" s="273">
        <v>1</v>
      </c>
      <c r="J706" s="273">
        <v>9</v>
      </c>
      <c r="K706" s="273">
        <v>12</v>
      </c>
      <c r="L706" s="273" t="s">
        <v>1994</v>
      </c>
      <c r="M706" s="273" t="s">
        <v>501</v>
      </c>
    </row>
    <row r="707" spans="2:13" x14ac:dyDescent="0.25">
      <c r="B707" s="273" t="s">
        <v>1996</v>
      </c>
      <c r="C707" s="273" t="s">
        <v>1987</v>
      </c>
      <c r="D707" s="273" t="s">
        <v>1987</v>
      </c>
      <c r="E707" s="273" t="s">
        <v>1997</v>
      </c>
      <c r="F707" s="277" t="s">
        <v>1998</v>
      </c>
      <c r="G707" s="278"/>
      <c r="H707" s="278"/>
      <c r="I707" s="273">
        <v>1</v>
      </c>
      <c r="J707" s="273">
        <v>15</v>
      </c>
      <c r="K707" s="273">
        <v>15</v>
      </c>
      <c r="L707" s="273" t="s">
        <v>1996</v>
      </c>
      <c r="M707" s="273" t="s">
        <v>501</v>
      </c>
    </row>
    <row r="708" spans="2:13" x14ac:dyDescent="0.25">
      <c r="B708" s="273" t="s">
        <v>1999</v>
      </c>
      <c r="C708" s="273" t="s">
        <v>1987</v>
      </c>
      <c r="D708" s="273" t="s">
        <v>1987</v>
      </c>
      <c r="E708" s="273" t="s">
        <v>2000</v>
      </c>
      <c r="F708" s="277" t="s">
        <v>2001</v>
      </c>
      <c r="G708" s="278"/>
      <c r="H708" s="278"/>
      <c r="I708" s="273">
        <v>1</v>
      </c>
      <c r="J708" s="273">
        <v>20</v>
      </c>
      <c r="K708" s="273">
        <v>20</v>
      </c>
      <c r="L708" s="273" t="s">
        <v>1999</v>
      </c>
      <c r="M708" s="273" t="s">
        <v>501</v>
      </c>
    </row>
    <row r="709" spans="2:13" x14ac:dyDescent="0.25">
      <c r="B709" s="273" t="s">
        <v>2002</v>
      </c>
      <c r="C709" s="273" t="s">
        <v>1987</v>
      </c>
      <c r="D709" s="273" t="s">
        <v>1987</v>
      </c>
      <c r="E709" s="273" t="s">
        <v>323</v>
      </c>
      <c r="F709" s="277" t="s">
        <v>2003</v>
      </c>
      <c r="G709" s="278"/>
      <c r="H709" s="278"/>
      <c r="I709" s="273">
        <v>1</v>
      </c>
      <c r="J709" s="273">
        <v>25</v>
      </c>
      <c r="K709" s="273">
        <v>25</v>
      </c>
      <c r="L709" s="273" t="s">
        <v>2002</v>
      </c>
      <c r="M709" s="273" t="s">
        <v>501</v>
      </c>
    </row>
    <row r="710" spans="2:13" x14ac:dyDescent="0.25">
      <c r="B710" s="273" t="s">
        <v>2004</v>
      </c>
      <c r="C710" s="273" t="s">
        <v>1987</v>
      </c>
      <c r="D710" s="273" t="s">
        <v>1987</v>
      </c>
      <c r="E710" s="273" t="s">
        <v>2005</v>
      </c>
      <c r="F710" s="277" t="s">
        <v>2006</v>
      </c>
      <c r="G710" s="278"/>
      <c r="H710" s="278"/>
      <c r="I710" s="273">
        <v>1</v>
      </c>
      <c r="J710" s="273">
        <v>34</v>
      </c>
      <c r="K710" s="273">
        <v>34</v>
      </c>
      <c r="L710" s="273" t="s">
        <v>2004</v>
      </c>
      <c r="M710" s="273" t="s">
        <v>501</v>
      </c>
    </row>
    <row r="711" spans="2:13" x14ac:dyDescent="0.25">
      <c r="B711" s="273" t="s">
        <v>2007</v>
      </c>
      <c r="C711" s="273" t="s">
        <v>1987</v>
      </c>
      <c r="D711" s="273" t="s">
        <v>1987</v>
      </c>
      <c r="E711" s="273" t="s">
        <v>2008</v>
      </c>
      <c r="F711" s="277" t="s">
        <v>2009</v>
      </c>
      <c r="G711" s="278"/>
      <c r="H711" s="278"/>
      <c r="I711" s="273">
        <v>1</v>
      </c>
      <c r="J711" s="273">
        <v>40</v>
      </c>
      <c r="K711" s="273">
        <v>40</v>
      </c>
      <c r="L711" s="273" t="s">
        <v>2007</v>
      </c>
      <c r="M711" s="273" t="s">
        <v>501</v>
      </c>
    </row>
    <row r="712" spans="2:13" x14ac:dyDescent="0.25">
      <c r="B712" s="273" t="s">
        <v>2010</v>
      </c>
      <c r="C712" s="273" t="s">
        <v>1987</v>
      </c>
      <c r="D712" s="273" t="s">
        <v>1987</v>
      </c>
      <c r="E712" s="273" t="s">
        <v>2011</v>
      </c>
      <c r="F712" s="277" t="s">
        <v>2012</v>
      </c>
      <c r="G712" s="278"/>
      <c r="H712" s="278"/>
      <c r="I712" s="273">
        <v>1</v>
      </c>
      <c r="J712" s="273">
        <v>5</v>
      </c>
      <c r="K712" s="273">
        <v>5</v>
      </c>
      <c r="L712" s="273" t="s">
        <v>2010</v>
      </c>
      <c r="M712" s="273" t="s">
        <v>501</v>
      </c>
    </row>
    <row r="713" spans="2:13" x14ac:dyDescent="0.25">
      <c r="B713" s="273" t="s">
        <v>2013</v>
      </c>
      <c r="C713" s="273" t="s">
        <v>1987</v>
      </c>
      <c r="D713" s="273" t="s">
        <v>1987</v>
      </c>
      <c r="E713" s="273" t="s">
        <v>2014</v>
      </c>
      <c r="F713" s="277" t="s">
        <v>2015</v>
      </c>
      <c r="G713" s="278"/>
      <c r="H713" s="278"/>
      <c r="I713" s="273">
        <v>1</v>
      </c>
      <c r="J713" s="273">
        <v>7.5</v>
      </c>
      <c r="K713" s="273">
        <v>8</v>
      </c>
      <c r="L713" s="273" t="s">
        <v>2013</v>
      </c>
      <c r="M713" s="273" t="s">
        <v>501</v>
      </c>
    </row>
    <row r="714" spans="2:13" x14ac:dyDescent="0.25">
      <c r="B714" s="273" t="s">
        <v>2016</v>
      </c>
      <c r="C714" s="273" t="s">
        <v>1987</v>
      </c>
      <c r="D714" s="273" t="s">
        <v>1987</v>
      </c>
      <c r="E714" s="273" t="s">
        <v>2017</v>
      </c>
      <c r="F714" s="277" t="s">
        <v>2018</v>
      </c>
      <c r="G714" s="278"/>
      <c r="H714" s="278"/>
      <c r="I714" s="273">
        <v>1</v>
      </c>
      <c r="J714" s="273">
        <v>0.5</v>
      </c>
      <c r="K714" s="273">
        <v>0.5</v>
      </c>
      <c r="L714" s="273" t="s">
        <v>2016</v>
      </c>
      <c r="M714" s="273" t="s">
        <v>501</v>
      </c>
    </row>
    <row r="715" spans="2:13" x14ac:dyDescent="0.25">
      <c r="B715" s="273" t="s">
        <v>2019</v>
      </c>
      <c r="C715" s="273" t="s">
        <v>1987</v>
      </c>
      <c r="D715" s="273" t="s">
        <v>1987</v>
      </c>
      <c r="E715" s="273" t="s">
        <v>2020</v>
      </c>
      <c r="F715" s="277" t="s">
        <v>2021</v>
      </c>
      <c r="G715" s="278"/>
      <c r="H715" s="278"/>
      <c r="I715" s="273">
        <v>1</v>
      </c>
      <c r="J715" s="273">
        <v>1.5</v>
      </c>
      <c r="K715" s="273">
        <v>1.5</v>
      </c>
      <c r="L715" s="273" t="s">
        <v>2019</v>
      </c>
      <c r="M715" s="273" t="s">
        <v>501</v>
      </c>
    </row>
    <row r="716" spans="2:13" x14ac:dyDescent="0.25">
      <c r="B716" s="273" t="s">
        <v>2022</v>
      </c>
      <c r="C716" s="273" t="s">
        <v>1987</v>
      </c>
      <c r="D716" s="273" t="s">
        <v>1987</v>
      </c>
      <c r="E716" s="273" t="s">
        <v>2023</v>
      </c>
      <c r="F716" s="277" t="s">
        <v>2024</v>
      </c>
      <c r="G716" s="278"/>
      <c r="H716" s="278"/>
      <c r="I716" s="273">
        <v>1</v>
      </c>
      <c r="J716" s="273">
        <v>10.5</v>
      </c>
      <c r="K716" s="273">
        <v>10.5</v>
      </c>
      <c r="L716" s="273" t="s">
        <v>2022</v>
      </c>
      <c r="M716" s="273" t="s">
        <v>501</v>
      </c>
    </row>
    <row r="717" spans="2:13" x14ac:dyDescent="0.25">
      <c r="B717" s="273" t="s">
        <v>2025</v>
      </c>
      <c r="C717" s="273" t="s">
        <v>1987</v>
      </c>
      <c r="D717" s="273" t="s">
        <v>1987</v>
      </c>
      <c r="E717" s="273" t="s">
        <v>2026</v>
      </c>
      <c r="F717" s="277" t="s">
        <v>2027</v>
      </c>
      <c r="G717" s="278"/>
      <c r="H717" s="278"/>
      <c r="I717" s="273">
        <v>1</v>
      </c>
      <c r="J717" s="273">
        <v>2</v>
      </c>
      <c r="K717" s="273">
        <v>2</v>
      </c>
      <c r="L717" s="273" t="s">
        <v>2025</v>
      </c>
      <c r="M717" s="273" t="s">
        <v>501</v>
      </c>
    </row>
    <row r="718" spans="2:13" x14ac:dyDescent="0.25">
      <c r="B718" s="273" t="s">
        <v>2028</v>
      </c>
      <c r="C718" s="273" t="s">
        <v>1987</v>
      </c>
      <c r="D718" s="273" t="s">
        <v>1987</v>
      </c>
      <c r="E718" s="273" t="s">
        <v>2029</v>
      </c>
      <c r="F718" s="277" t="s">
        <v>2030</v>
      </c>
      <c r="G718" s="278"/>
      <c r="H718" s="278"/>
      <c r="I718" s="273">
        <v>1</v>
      </c>
      <c r="J718" s="273">
        <v>3</v>
      </c>
      <c r="K718" s="273">
        <v>3</v>
      </c>
      <c r="L718" s="273" t="s">
        <v>2028</v>
      </c>
      <c r="M718" s="273" t="s">
        <v>501</v>
      </c>
    </row>
    <row r="719" spans="2:13" x14ac:dyDescent="0.25">
      <c r="B719" s="273" t="s">
        <v>2031</v>
      </c>
      <c r="C719" s="273" t="s">
        <v>1987</v>
      </c>
      <c r="D719" s="273" t="s">
        <v>1987</v>
      </c>
      <c r="E719" s="273" t="s">
        <v>2032</v>
      </c>
      <c r="F719" s="277" t="s">
        <v>2033</v>
      </c>
      <c r="G719" s="278"/>
      <c r="H719" s="278"/>
      <c r="I719" s="273">
        <v>1</v>
      </c>
      <c r="J719" s="273">
        <v>5</v>
      </c>
      <c r="K719" s="273">
        <v>5</v>
      </c>
      <c r="L719" s="273" t="s">
        <v>2031</v>
      </c>
      <c r="M719" s="273" t="s">
        <v>501</v>
      </c>
    </row>
    <row r="720" spans="2:13" x14ac:dyDescent="0.25">
      <c r="B720" s="273" t="s">
        <v>2034</v>
      </c>
      <c r="C720" s="273" t="s">
        <v>1987</v>
      </c>
      <c r="D720" s="273" t="s">
        <v>1987</v>
      </c>
      <c r="E720" s="273" t="s">
        <v>2035</v>
      </c>
      <c r="F720" s="277" t="s">
        <v>2036</v>
      </c>
      <c r="G720" s="278"/>
      <c r="H720" s="278"/>
      <c r="I720" s="273">
        <v>1</v>
      </c>
      <c r="J720" s="273">
        <v>8</v>
      </c>
      <c r="K720" s="273">
        <v>8</v>
      </c>
      <c r="L720" s="273" t="s">
        <v>2034</v>
      </c>
      <c r="M720" s="273" t="s">
        <v>501</v>
      </c>
    </row>
    <row r="721" spans="2:13" x14ac:dyDescent="0.25">
      <c r="B721" s="273" t="s">
        <v>2037</v>
      </c>
      <c r="C721" s="273" t="s">
        <v>1987</v>
      </c>
      <c r="D721" s="273" t="s">
        <v>1987</v>
      </c>
      <c r="E721" s="273" t="s">
        <v>756</v>
      </c>
      <c r="F721" s="277" t="s">
        <v>2038</v>
      </c>
      <c r="G721" s="278" t="s">
        <v>633</v>
      </c>
      <c r="H721" s="278"/>
      <c r="I721" s="273">
        <v>2</v>
      </c>
      <c r="J721" s="273">
        <v>5</v>
      </c>
      <c r="K721" s="273">
        <v>20</v>
      </c>
      <c r="L721" s="273" t="s">
        <v>2037</v>
      </c>
      <c r="M721" s="273" t="s">
        <v>501</v>
      </c>
    </row>
    <row r="722" spans="2:13" x14ac:dyDescent="0.25">
      <c r="B722" s="273" t="s">
        <v>2039</v>
      </c>
      <c r="C722" s="273" t="s">
        <v>1987</v>
      </c>
      <c r="D722" s="273" t="s">
        <v>1987</v>
      </c>
      <c r="E722" s="273" t="s">
        <v>766</v>
      </c>
      <c r="F722" s="277" t="s">
        <v>2040</v>
      </c>
      <c r="G722" s="278" t="s">
        <v>633</v>
      </c>
      <c r="H722" s="278"/>
      <c r="I722" s="273">
        <v>2</v>
      </c>
      <c r="J722" s="273">
        <v>7</v>
      </c>
      <c r="K722" s="273">
        <v>21</v>
      </c>
      <c r="L722" s="273" t="s">
        <v>2039</v>
      </c>
      <c r="M722" s="273" t="s">
        <v>501</v>
      </c>
    </row>
    <row r="723" spans="2:13" x14ac:dyDescent="0.25">
      <c r="B723" s="273" t="s">
        <v>2041</v>
      </c>
      <c r="C723" s="273" t="s">
        <v>1987</v>
      </c>
      <c r="D723" s="273" t="s">
        <v>1987</v>
      </c>
      <c r="E723" s="273" t="s">
        <v>1992</v>
      </c>
      <c r="F723" s="277" t="s">
        <v>2042</v>
      </c>
      <c r="G723" s="278" t="s">
        <v>633</v>
      </c>
      <c r="H723" s="278"/>
      <c r="I723" s="273">
        <v>2</v>
      </c>
      <c r="J723" s="273">
        <v>8</v>
      </c>
      <c r="K723" s="273">
        <v>24</v>
      </c>
      <c r="L723" s="273" t="s">
        <v>2041</v>
      </c>
      <c r="M723" s="273" t="s">
        <v>501</v>
      </c>
    </row>
    <row r="724" spans="2:13" x14ac:dyDescent="0.25">
      <c r="B724" s="273" t="s">
        <v>2043</v>
      </c>
      <c r="C724" s="273" t="s">
        <v>1987</v>
      </c>
      <c r="D724" s="273" t="s">
        <v>1987</v>
      </c>
      <c r="E724" s="273" t="s">
        <v>769</v>
      </c>
      <c r="F724" s="277" t="s">
        <v>2044</v>
      </c>
      <c r="G724" s="278" t="s">
        <v>633</v>
      </c>
      <c r="H724" s="278"/>
      <c r="I724" s="273">
        <v>2</v>
      </c>
      <c r="J724" s="273">
        <v>9</v>
      </c>
      <c r="K724" s="273">
        <v>20</v>
      </c>
      <c r="L724" s="273" t="s">
        <v>2043</v>
      </c>
      <c r="M724" s="273" t="s">
        <v>501</v>
      </c>
    </row>
    <row r="725" spans="2:13" x14ac:dyDescent="0.25">
      <c r="B725" s="273" t="s">
        <v>2045</v>
      </c>
      <c r="C725" s="273" t="s">
        <v>1987</v>
      </c>
      <c r="D725" s="273" t="s">
        <v>1987</v>
      </c>
      <c r="E725" s="273" t="s">
        <v>2046</v>
      </c>
      <c r="F725" s="277" t="s">
        <v>2047</v>
      </c>
      <c r="G725" s="278"/>
      <c r="H725" s="278"/>
      <c r="I725" s="273">
        <v>2</v>
      </c>
      <c r="J725" s="273">
        <v>10</v>
      </c>
      <c r="K725" s="273">
        <v>20</v>
      </c>
      <c r="L725" s="273" t="s">
        <v>2045</v>
      </c>
      <c r="M725" s="273" t="s">
        <v>501</v>
      </c>
    </row>
    <row r="726" spans="2:13" x14ac:dyDescent="0.25">
      <c r="B726" s="273" t="s">
        <v>2048</v>
      </c>
      <c r="C726" s="273" t="s">
        <v>1987</v>
      </c>
      <c r="D726" s="273" t="s">
        <v>1987</v>
      </c>
      <c r="E726" s="273" t="s">
        <v>1997</v>
      </c>
      <c r="F726" s="277" t="s">
        <v>2049</v>
      </c>
      <c r="G726" s="278"/>
      <c r="H726" s="278"/>
      <c r="I726" s="273">
        <v>2</v>
      </c>
      <c r="J726" s="273">
        <v>15</v>
      </c>
      <c r="K726" s="273">
        <v>30</v>
      </c>
      <c r="L726" s="273" t="s">
        <v>2048</v>
      </c>
      <c r="M726" s="273" t="s">
        <v>501</v>
      </c>
    </row>
    <row r="727" spans="2:13" x14ac:dyDescent="0.25">
      <c r="B727" s="273" t="s">
        <v>2050</v>
      </c>
      <c r="C727" s="273" t="s">
        <v>1987</v>
      </c>
      <c r="D727" s="273" t="s">
        <v>1987</v>
      </c>
      <c r="E727" s="273" t="s">
        <v>2000</v>
      </c>
      <c r="F727" s="277" t="s">
        <v>2051</v>
      </c>
      <c r="G727" s="278"/>
      <c r="H727" s="278"/>
      <c r="I727" s="273">
        <v>2</v>
      </c>
      <c r="J727" s="273">
        <v>20</v>
      </c>
      <c r="K727" s="273">
        <v>40</v>
      </c>
      <c r="L727" s="273" t="s">
        <v>2050</v>
      </c>
      <c r="M727" s="273" t="s">
        <v>501</v>
      </c>
    </row>
    <row r="728" spans="2:13" x14ac:dyDescent="0.25">
      <c r="B728" s="273" t="s">
        <v>2052</v>
      </c>
      <c r="C728" s="273" t="s">
        <v>1987</v>
      </c>
      <c r="D728" s="273" t="s">
        <v>1987</v>
      </c>
      <c r="E728" s="273" t="s">
        <v>323</v>
      </c>
      <c r="F728" s="277" t="s">
        <v>2053</v>
      </c>
      <c r="G728" s="278"/>
      <c r="H728" s="278"/>
      <c r="I728" s="273">
        <v>2</v>
      </c>
      <c r="J728" s="273">
        <v>25</v>
      </c>
      <c r="K728" s="273">
        <v>50</v>
      </c>
      <c r="L728" s="273" t="s">
        <v>2052</v>
      </c>
      <c r="M728" s="273" t="s">
        <v>501</v>
      </c>
    </row>
    <row r="729" spans="2:13" x14ac:dyDescent="0.25">
      <c r="B729" s="273" t="s">
        <v>2054</v>
      </c>
      <c r="C729" s="273" t="s">
        <v>1987</v>
      </c>
      <c r="D729" s="273" t="s">
        <v>1987</v>
      </c>
      <c r="E729" s="273" t="s">
        <v>2005</v>
      </c>
      <c r="F729" s="277" t="s">
        <v>2055</v>
      </c>
      <c r="G729" s="278"/>
      <c r="H729" s="278"/>
      <c r="I729" s="273">
        <v>2</v>
      </c>
      <c r="J729" s="273">
        <v>34</v>
      </c>
      <c r="K729" s="273">
        <v>68</v>
      </c>
      <c r="L729" s="273" t="s">
        <v>2054</v>
      </c>
      <c r="M729" s="273" t="s">
        <v>501</v>
      </c>
    </row>
    <row r="730" spans="2:13" x14ac:dyDescent="0.25">
      <c r="B730" s="273" t="s">
        <v>2056</v>
      </c>
      <c r="C730" s="273" t="s">
        <v>1987</v>
      </c>
      <c r="D730" s="273" t="s">
        <v>1987</v>
      </c>
      <c r="E730" s="273" t="s">
        <v>2008</v>
      </c>
      <c r="F730" s="277" t="s">
        <v>2057</v>
      </c>
      <c r="G730" s="278"/>
      <c r="H730" s="278"/>
      <c r="I730" s="273">
        <v>2</v>
      </c>
      <c r="J730" s="273">
        <v>40</v>
      </c>
      <c r="K730" s="273">
        <v>80</v>
      </c>
      <c r="L730" s="273" t="s">
        <v>2056</v>
      </c>
      <c r="M730" s="273" t="s">
        <v>501</v>
      </c>
    </row>
    <row r="731" spans="2:13" x14ac:dyDescent="0.25">
      <c r="B731" s="273" t="s">
        <v>2058</v>
      </c>
      <c r="C731" s="273" t="s">
        <v>1987</v>
      </c>
      <c r="D731" s="273" t="s">
        <v>1987</v>
      </c>
      <c r="E731" s="273" t="s">
        <v>2011</v>
      </c>
      <c r="F731" s="277" t="s">
        <v>2059</v>
      </c>
      <c r="G731" s="278"/>
      <c r="H731" s="278"/>
      <c r="I731" s="273">
        <v>2</v>
      </c>
      <c r="J731" s="273">
        <v>5</v>
      </c>
      <c r="K731" s="273">
        <v>10</v>
      </c>
      <c r="L731" s="273" t="s">
        <v>2058</v>
      </c>
      <c r="M731" s="273" t="s">
        <v>501</v>
      </c>
    </row>
    <row r="732" spans="2:13" x14ac:dyDescent="0.25">
      <c r="B732" s="273" t="s">
        <v>2060</v>
      </c>
      <c r="C732" s="273" t="s">
        <v>1987</v>
      </c>
      <c r="D732" s="273" t="s">
        <v>1987</v>
      </c>
      <c r="E732" s="273" t="s">
        <v>2061</v>
      </c>
      <c r="F732" s="277" t="s">
        <v>2062</v>
      </c>
      <c r="G732" s="278"/>
      <c r="H732" s="278"/>
      <c r="I732" s="273">
        <v>2</v>
      </c>
      <c r="J732" s="273">
        <v>50</v>
      </c>
      <c r="K732" s="273">
        <v>100</v>
      </c>
      <c r="L732" s="273" t="s">
        <v>2060</v>
      </c>
      <c r="M732" s="273" t="s">
        <v>501</v>
      </c>
    </row>
    <row r="733" spans="2:13" x14ac:dyDescent="0.25">
      <c r="B733" s="273" t="s">
        <v>2063</v>
      </c>
      <c r="C733" s="273" t="s">
        <v>1987</v>
      </c>
      <c r="D733" s="273" t="s">
        <v>1987</v>
      </c>
      <c r="E733" s="273" t="s">
        <v>2014</v>
      </c>
      <c r="F733" s="277" t="s">
        <v>2064</v>
      </c>
      <c r="G733" s="278"/>
      <c r="H733" s="278"/>
      <c r="I733" s="273">
        <v>2</v>
      </c>
      <c r="J733" s="273">
        <v>7.5</v>
      </c>
      <c r="K733" s="273">
        <v>15</v>
      </c>
      <c r="L733" s="273" t="s">
        <v>2063</v>
      </c>
      <c r="M733" s="273" t="s">
        <v>501</v>
      </c>
    </row>
    <row r="734" spans="2:13" x14ac:dyDescent="0.25">
      <c r="B734" s="273" t="s">
        <v>2065</v>
      </c>
      <c r="C734" s="273" t="s">
        <v>1987</v>
      </c>
      <c r="D734" s="273" t="s">
        <v>1987</v>
      </c>
      <c r="E734" s="273" t="s">
        <v>2017</v>
      </c>
      <c r="F734" s="277" t="s">
        <v>2066</v>
      </c>
      <c r="G734" s="278"/>
      <c r="H734" s="278"/>
      <c r="I734" s="273">
        <v>2</v>
      </c>
      <c r="J734" s="273">
        <v>0.5</v>
      </c>
      <c r="K734" s="273">
        <v>1</v>
      </c>
      <c r="L734" s="273" t="s">
        <v>2065</v>
      </c>
      <c r="M734" s="273" t="s">
        <v>501</v>
      </c>
    </row>
    <row r="735" spans="2:13" x14ac:dyDescent="0.25">
      <c r="B735" s="273" t="s">
        <v>2067</v>
      </c>
      <c r="C735" s="273" t="s">
        <v>1987</v>
      </c>
      <c r="D735" s="273" t="s">
        <v>1987</v>
      </c>
      <c r="E735" s="273" t="s">
        <v>2020</v>
      </c>
      <c r="F735" s="277" t="s">
        <v>2068</v>
      </c>
      <c r="G735" s="278"/>
      <c r="H735" s="278"/>
      <c r="I735" s="273">
        <v>2</v>
      </c>
      <c r="J735" s="273">
        <v>1.5</v>
      </c>
      <c r="K735" s="273">
        <v>3</v>
      </c>
      <c r="L735" s="273" t="s">
        <v>2067</v>
      </c>
      <c r="M735" s="273" t="s">
        <v>501</v>
      </c>
    </row>
    <row r="736" spans="2:13" x14ac:dyDescent="0.25">
      <c r="B736" s="273" t="s">
        <v>2069</v>
      </c>
      <c r="C736" s="273" t="s">
        <v>1987</v>
      </c>
      <c r="D736" s="273" t="s">
        <v>1987</v>
      </c>
      <c r="E736" s="273" t="s">
        <v>2023</v>
      </c>
      <c r="F736" s="277" t="s">
        <v>2070</v>
      </c>
      <c r="G736" s="278"/>
      <c r="H736" s="278"/>
      <c r="I736" s="273">
        <v>2</v>
      </c>
      <c r="J736" s="273">
        <v>10.5</v>
      </c>
      <c r="K736" s="273">
        <v>21</v>
      </c>
      <c r="L736" s="273" t="s">
        <v>2069</v>
      </c>
      <c r="M736" s="273" t="s">
        <v>501</v>
      </c>
    </row>
    <row r="737" spans="2:13" x14ac:dyDescent="0.25">
      <c r="B737" s="273" t="s">
        <v>2071</v>
      </c>
      <c r="C737" s="273" t="s">
        <v>1987</v>
      </c>
      <c r="D737" s="273" t="s">
        <v>1987</v>
      </c>
      <c r="E737" s="273" t="s">
        <v>2026</v>
      </c>
      <c r="F737" s="277" t="s">
        <v>2072</v>
      </c>
      <c r="G737" s="278"/>
      <c r="H737" s="278"/>
      <c r="I737" s="273">
        <v>2</v>
      </c>
      <c r="J737" s="273">
        <v>2</v>
      </c>
      <c r="K737" s="273">
        <v>4</v>
      </c>
      <c r="L737" s="273" t="s">
        <v>2071</v>
      </c>
      <c r="M737" s="273" t="s">
        <v>501</v>
      </c>
    </row>
    <row r="738" spans="2:13" x14ac:dyDescent="0.25">
      <c r="B738" s="273" t="s">
        <v>2073</v>
      </c>
      <c r="C738" s="273" t="s">
        <v>1987</v>
      </c>
      <c r="D738" s="273" t="s">
        <v>1987</v>
      </c>
      <c r="E738" s="273" t="s">
        <v>2029</v>
      </c>
      <c r="F738" s="277" t="s">
        <v>2074</v>
      </c>
      <c r="G738" s="278"/>
      <c r="H738" s="278"/>
      <c r="I738" s="273">
        <v>2</v>
      </c>
      <c r="J738" s="273">
        <v>3</v>
      </c>
      <c r="K738" s="273">
        <v>6</v>
      </c>
      <c r="L738" s="273" t="s">
        <v>2073</v>
      </c>
      <c r="M738" s="273" t="s">
        <v>501</v>
      </c>
    </row>
    <row r="739" spans="2:13" x14ac:dyDescent="0.25">
      <c r="B739" s="273" t="s">
        <v>2075</v>
      </c>
      <c r="C739" s="273" t="s">
        <v>1987</v>
      </c>
      <c r="D739" s="273" t="s">
        <v>1987</v>
      </c>
      <c r="E739" s="273" t="s">
        <v>2032</v>
      </c>
      <c r="F739" s="277" t="s">
        <v>2076</v>
      </c>
      <c r="G739" s="278"/>
      <c r="H739" s="278"/>
      <c r="I739" s="273">
        <v>2</v>
      </c>
      <c r="J739" s="273">
        <v>5</v>
      </c>
      <c r="K739" s="273">
        <v>10</v>
      </c>
      <c r="L739" s="273" t="s">
        <v>2075</v>
      </c>
      <c r="M739" s="273" t="s">
        <v>501</v>
      </c>
    </row>
    <row r="740" spans="2:13" x14ac:dyDescent="0.25">
      <c r="B740" s="273" t="s">
        <v>2077</v>
      </c>
      <c r="C740" s="273" t="s">
        <v>1987</v>
      </c>
      <c r="D740" s="273" t="s">
        <v>1987</v>
      </c>
      <c r="E740" s="273" t="s">
        <v>2035</v>
      </c>
      <c r="F740" s="277" t="s">
        <v>2078</v>
      </c>
      <c r="G740" s="278"/>
      <c r="H740" s="278"/>
      <c r="I740" s="273">
        <v>2</v>
      </c>
      <c r="J740" s="273">
        <v>8</v>
      </c>
      <c r="K740" s="273">
        <v>16</v>
      </c>
      <c r="L740" s="273" t="s">
        <v>2077</v>
      </c>
      <c r="M740" s="273" t="s">
        <v>501</v>
      </c>
    </row>
    <row r="741" spans="2:13" x14ac:dyDescent="0.25">
      <c r="B741" s="273" t="s">
        <v>2079</v>
      </c>
      <c r="C741" s="273" t="s">
        <v>2080</v>
      </c>
      <c r="D741" s="273" t="s">
        <v>2081</v>
      </c>
      <c r="E741" s="273" t="s">
        <v>2082</v>
      </c>
      <c r="F741" s="277" t="s">
        <v>2083</v>
      </c>
      <c r="G741" s="278"/>
      <c r="H741" s="278"/>
      <c r="I741" s="273">
        <v>1</v>
      </c>
      <c r="J741" s="273">
        <v>100</v>
      </c>
      <c r="K741" s="273">
        <v>100</v>
      </c>
      <c r="L741" s="273" t="s">
        <v>2079</v>
      </c>
      <c r="M741" s="273" t="s">
        <v>500</v>
      </c>
    </row>
    <row r="742" spans="2:13" x14ac:dyDescent="0.25">
      <c r="B742" s="273" t="s">
        <v>2084</v>
      </c>
      <c r="C742" s="273" t="s">
        <v>2080</v>
      </c>
      <c r="D742" s="273" t="s">
        <v>2081</v>
      </c>
      <c r="E742" s="273" t="s">
        <v>2085</v>
      </c>
      <c r="F742" s="277" t="s">
        <v>2086</v>
      </c>
      <c r="G742" s="278"/>
      <c r="H742" s="278"/>
      <c r="I742" s="273">
        <v>1</v>
      </c>
      <c r="J742" s="273">
        <v>1000</v>
      </c>
      <c r="K742" s="273">
        <v>1000</v>
      </c>
      <c r="L742" s="273" t="s">
        <v>2084</v>
      </c>
      <c r="M742" s="273" t="s">
        <v>500</v>
      </c>
    </row>
    <row r="743" spans="2:13" x14ac:dyDescent="0.25">
      <c r="B743" s="273" t="s">
        <v>2087</v>
      </c>
      <c r="C743" s="273" t="s">
        <v>2080</v>
      </c>
      <c r="D743" s="273" t="s">
        <v>2081</v>
      </c>
      <c r="E743" s="273" t="s">
        <v>2088</v>
      </c>
      <c r="F743" s="277" t="s">
        <v>2089</v>
      </c>
      <c r="G743" s="278"/>
      <c r="H743" s="278"/>
      <c r="I743" s="273">
        <v>1</v>
      </c>
      <c r="J743" s="273">
        <v>90</v>
      </c>
      <c r="K743" s="273">
        <v>90</v>
      </c>
      <c r="L743" s="273" t="s">
        <v>2087</v>
      </c>
      <c r="M743" s="273" t="s">
        <v>500</v>
      </c>
    </row>
    <row r="744" spans="2:13" x14ac:dyDescent="0.25">
      <c r="B744" s="273" t="s">
        <v>2090</v>
      </c>
      <c r="C744" s="273" t="s">
        <v>2080</v>
      </c>
      <c r="D744" s="273" t="s">
        <v>2081</v>
      </c>
      <c r="E744" s="273" t="s">
        <v>2091</v>
      </c>
      <c r="F744" s="277" t="s">
        <v>2092</v>
      </c>
      <c r="G744" s="278"/>
      <c r="H744" s="278"/>
      <c r="I744" s="273">
        <v>1</v>
      </c>
      <c r="J744" s="273">
        <v>90</v>
      </c>
      <c r="K744" s="273">
        <v>90</v>
      </c>
      <c r="L744" s="273" t="s">
        <v>2090</v>
      </c>
      <c r="M744" s="273" t="s">
        <v>500</v>
      </c>
    </row>
    <row r="745" spans="2:13" x14ac:dyDescent="0.25">
      <c r="B745" s="273" t="s">
        <v>2093</v>
      </c>
      <c r="C745" s="273" t="s">
        <v>2080</v>
      </c>
      <c r="D745" s="273" t="s">
        <v>2081</v>
      </c>
      <c r="E745" s="273" t="s">
        <v>2094</v>
      </c>
      <c r="F745" s="277" t="s">
        <v>2095</v>
      </c>
      <c r="G745" s="278"/>
      <c r="H745" s="278"/>
      <c r="I745" s="273">
        <v>1</v>
      </c>
      <c r="J745" s="273">
        <v>120</v>
      </c>
      <c r="K745" s="273">
        <v>120</v>
      </c>
      <c r="L745" s="273" t="s">
        <v>2093</v>
      </c>
      <c r="M745" s="273" t="s">
        <v>500</v>
      </c>
    </row>
    <row r="746" spans="2:13" x14ac:dyDescent="0.25">
      <c r="B746" s="273" t="s">
        <v>2096</v>
      </c>
      <c r="C746" s="273" t="s">
        <v>2080</v>
      </c>
      <c r="D746" s="273" t="s">
        <v>2081</v>
      </c>
      <c r="E746" s="273" t="s">
        <v>2097</v>
      </c>
      <c r="F746" s="277" t="s">
        <v>2098</v>
      </c>
      <c r="G746" s="278"/>
      <c r="H746" s="278"/>
      <c r="I746" s="273">
        <v>1</v>
      </c>
      <c r="J746" s="273">
        <v>125</v>
      </c>
      <c r="K746" s="273">
        <v>125</v>
      </c>
      <c r="L746" s="273" t="s">
        <v>2096</v>
      </c>
      <c r="M746" s="273" t="s">
        <v>500</v>
      </c>
    </row>
    <row r="747" spans="2:13" x14ac:dyDescent="0.25">
      <c r="B747" s="273" t="s">
        <v>2099</v>
      </c>
      <c r="C747" s="273" t="s">
        <v>2080</v>
      </c>
      <c r="D747" s="273" t="s">
        <v>2081</v>
      </c>
      <c r="E747" s="273" t="s">
        <v>2100</v>
      </c>
      <c r="F747" s="277" t="s">
        <v>2101</v>
      </c>
      <c r="G747" s="278"/>
      <c r="H747" s="278"/>
      <c r="I747" s="273">
        <v>1</v>
      </c>
      <c r="J747" s="273">
        <v>135</v>
      </c>
      <c r="K747" s="273">
        <v>135</v>
      </c>
      <c r="L747" s="273" t="s">
        <v>2099</v>
      </c>
      <c r="M747" s="273" t="s">
        <v>500</v>
      </c>
    </row>
    <row r="748" spans="2:13" x14ac:dyDescent="0.25">
      <c r="B748" s="273" t="s">
        <v>2102</v>
      </c>
      <c r="C748" s="273" t="s">
        <v>2080</v>
      </c>
      <c r="D748" s="273" t="s">
        <v>2081</v>
      </c>
      <c r="E748" s="273" t="s">
        <v>1997</v>
      </c>
      <c r="F748" s="277" t="s">
        <v>2103</v>
      </c>
      <c r="G748" s="278"/>
      <c r="H748" s="278"/>
      <c r="I748" s="273">
        <v>1</v>
      </c>
      <c r="J748" s="273">
        <v>15</v>
      </c>
      <c r="K748" s="273">
        <v>15</v>
      </c>
      <c r="L748" s="273" t="s">
        <v>2102</v>
      </c>
      <c r="M748" s="273" t="s">
        <v>500</v>
      </c>
    </row>
    <row r="749" spans="2:13" x14ac:dyDescent="0.25">
      <c r="B749" s="273" t="s">
        <v>2104</v>
      </c>
      <c r="C749" s="273" t="s">
        <v>2080</v>
      </c>
      <c r="D749" s="273" t="s">
        <v>2081</v>
      </c>
      <c r="E749" s="273" t="s">
        <v>2105</v>
      </c>
      <c r="F749" s="277" t="s">
        <v>2106</v>
      </c>
      <c r="G749" s="278"/>
      <c r="H749" s="278"/>
      <c r="I749" s="273">
        <v>1</v>
      </c>
      <c r="J749" s="273">
        <v>150</v>
      </c>
      <c r="K749" s="273">
        <v>150</v>
      </c>
      <c r="L749" s="273" t="s">
        <v>2104</v>
      </c>
      <c r="M749" s="273" t="s">
        <v>500</v>
      </c>
    </row>
    <row r="750" spans="2:13" x14ac:dyDescent="0.25">
      <c r="B750" s="273" t="s">
        <v>2107</v>
      </c>
      <c r="C750" s="273" t="s">
        <v>2080</v>
      </c>
      <c r="D750" s="273" t="s">
        <v>2081</v>
      </c>
      <c r="E750" s="273" t="s">
        <v>2108</v>
      </c>
      <c r="F750" s="277" t="s">
        <v>2109</v>
      </c>
      <c r="G750" s="278"/>
      <c r="H750" s="278"/>
      <c r="I750" s="273">
        <v>1</v>
      </c>
      <c r="J750" s="273">
        <v>1500</v>
      </c>
      <c r="K750" s="273">
        <v>1500</v>
      </c>
      <c r="L750" s="273" t="s">
        <v>2107</v>
      </c>
      <c r="M750" s="273" t="s">
        <v>500</v>
      </c>
    </row>
    <row r="751" spans="2:13" x14ac:dyDescent="0.25">
      <c r="B751" s="273" t="s">
        <v>2110</v>
      </c>
      <c r="C751" s="273" t="s">
        <v>2080</v>
      </c>
      <c r="D751" s="273" t="s">
        <v>2081</v>
      </c>
      <c r="E751" s="273" t="s">
        <v>2111</v>
      </c>
      <c r="F751" s="277" t="s">
        <v>2112</v>
      </c>
      <c r="G751" s="278"/>
      <c r="H751" s="278"/>
      <c r="I751" s="273">
        <v>1</v>
      </c>
      <c r="J751" s="273">
        <v>135</v>
      </c>
      <c r="K751" s="273">
        <v>135</v>
      </c>
      <c r="L751" s="273" t="s">
        <v>2110</v>
      </c>
      <c r="M751" s="273" t="s">
        <v>500</v>
      </c>
    </row>
    <row r="752" spans="2:13" x14ac:dyDescent="0.25">
      <c r="B752" s="273" t="s">
        <v>2113</v>
      </c>
      <c r="C752" s="273" t="s">
        <v>2080</v>
      </c>
      <c r="D752" s="273" t="s">
        <v>2081</v>
      </c>
      <c r="E752" s="273" t="s">
        <v>2114</v>
      </c>
      <c r="F752" s="277" t="s">
        <v>2115</v>
      </c>
      <c r="G752" s="278"/>
      <c r="H752" s="278"/>
      <c r="I752" s="273">
        <v>1</v>
      </c>
      <c r="J752" s="273">
        <v>135</v>
      </c>
      <c r="K752" s="273">
        <v>135</v>
      </c>
      <c r="L752" s="273" t="s">
        <v>2113</v>
      </c>
      <c r="M752" s="273" t="s">
        <v>500</v>
      </c>
    </row>
    <row r="753" spans="2:13" x14ac:dyDescent="0.25">
      <c r="B753" s="273" t="s">
        <v>2116</v>
      </c>
      <c r="C753" s="273" t="s">
        <v>2080</v>
      </c>
      <c r="D753" s="273" t="s">
        <v>2081</v>
      </c>
      <c r="E753" s="273" t="s">
        <v>2117</v>
      </c>
      <c r="F753" s="277" t="s">
        <v>2118</v>
      </c>
      <c r="G753" s="278"/>
      <c r="H753" s="278"/>
      <c r="I753" s="273">
        <v>1</v>
      </c>
      <c r="J753" s="273">
        <v>170</v>
      </c>
      <c r="K753" s="273">
        <v>170</v>
      </c>
      <c r="L753" s="273" t="s">
        <v>2116</v>
      </c>
      <c r="M753" s="273" t="s">
        <v>500</v>
      </c>
    </row>
    <row r="754" spans="2:13" x14ac:dyDescent="0.25">
      <c r="B754" s="273" t="s">
        <v>2119</v>
      </c>
      <c r="C754" s="273" t="s">
        <v>2080</v>
      </c>
      <c r="D754" s="273" t="s">
        <v>2081</v>
      </c>
      <c r="E754" s="273" t="s">
        <v>2000</v>
      </c>
      <c r="F754" s="277" t="s">
        <v>2120</v>
      </c>
      <c r="G754" s="278"/>
      <c r="H754" s="278"/>
      <c r="I754" s="273">
        <v>1</v>
      </c>
      <c r="J754" s="273">
        <v>20</v>
      </c>
      <c r="K754" s="273">
        <v>20</v>
      </c>
      <c r="L754" s="273" t="s">
        <v>2119</v>
      </c>
      <c r="M754" s="273" t="s">
        <v>500</v>
      </c>
    </row>
    <row r="755" spans="2:13" x14ac:dyDescent="0.25">
      <c r="B755" s="273" t="s">
        <v>2121</v>
      </c>
      <c r="C755" s="273" t="s">
        <v>2080</v>
      </c>
      <c r="D755" s="273" t="s">
        <v>2081</v>
      </c>
      <c r="E755" s="273" t="s">
        <v>2122</v>
      </c>
      <c r="F755" s="277" t="s">
        <v>2123</v>
      </c>
      <c r="G755" s="278"/>
      <c r="H755" s="278"/>
      <c r="I755" s="273">
        <v>1</v>
      </c>
      <c r="J755" s="273">
        <v>200</v>
      </c>
      <c r="K755" s="273">
        <v>200</v>
      </c>
      <c r="L755" s="273" t="s">
        <v>2121</v>
      </c>
      <c r="M755" s="273" t="s">
        <v>500</v>
      </c>
    </row>
    <row r="756" spans="2:13" x14ac:dyDescent="0.25">
      <c r="B756" s="273" t="s">
        <v>2124</v>
      </c>
      <c r="C756" s="273" t="s">
        <v>2080</v>
      </c>
      <c r="D756" s="273" t="s">
        <v>2081</v>
      </c>
      <c r="E756" s="273" t="s">
        <v>2125</v>
      </c>
      <c r="F756" s="277" t="s">
        <v>2126</v>
      </c>
      <c r="G756" s="278"/>
      <c r="H756" s="278"/>
      <c r="I756" s="273">
        <v>1</v>
      </c>
      <c r="J756" s="273">
        <v>2000</v>
      </c>
      <c r="K756" s="273">
        <v>2000</v>
      </c>
      <c r="L756" s="273" t="s">
        <v>2124</v>
      </c>
      <c r="M756" s="273" t="s">
        <v>500</v>
      </c>
    </row>
    <row r="757" spans="2:13" x14ac:dyDescent="0.25">
      <c r="B757" s="273" t="s">
        <v>2127</v>
      </c>
      <c r="C757" s="273" t="s">
        <v>2080</v>
      </c>
      <c r="D757" s="273" t="s">
        <v>2081</v>
      </c>
      <c r="E757" s="273" t="s">
        <v>2128</v>
      </c>
      <c r="F757" s="277" t="s">
        <v>2129</v>
      </c>
      <c r="G757" s="278"/>
      <c r="H757" s="278"/>
      <c r="I757" s="273">
        <v>1</v>
      </c>
      <c r="J757" s="273">
        <v>200</v>
      </c>
      <c r="K757" s="273">
        <v>200</v>
      </c>
      <c r="L757" s="273" t="s">
        <v>2127</v>
      </c>
      <c r="M757" s="273" t="s">
        <v>500</v>
      </c>
    </row>
    <row r="758" spans="2:13" x14ac:dyDescent="0.25">
      <c r="B758" s="273" t="s">
        <v>2130</v>
      </c>
      <c r="C758" s="273" t="s">
        <v>2080</v>
      </c>
      <c r="D758" s="273" t="s">
        <v>2081</v>
      </c>
      <c r="E758" s="273" t="s">
        <v>323</v>
      </c>
      <c r="F758" s="277" t="s">
        <v>2131</v>
      </c>
      <c r="G758" s="278"/>
      <c r="H758" s="278"/>
      <c r="I758" s="273">
        <v>1</v>
      </c>
      <c r="J758" s="273">
        <v>25</v>
      </c>
      <c r="K758" s="273">
        <v>25</v>
      </c>
      <c r="L758" s="273" t="s">
        <v>2130</v>
      </c>
      <c r="M758" s="273" t="s">
        <v>500</v>
      </c>
    </row>
    <row r="759" spans="2:13" x14ac:dyDescent="0.25">
      <c r="B759" s="273" t="s">
        <v>2132</v>
      </c>
      <c r="C759" s="273" t="s">
        <v>2080</v>
      </c>
      <c r="D759" s="273" t="s">
        <v>2081</v>
      </c>
      <c r="E759" s="273" t="s">
        <v>2133</v>
      </c>
      <c r="F759" s="277" t="s">
        <v>2134</v>
      </c>
      <c r="G759" s="278"/>
      <c r="H759" s="278"/>
      <c r="I759" s="273">
        <v>1</v>
      </c>
      <c r="J759" s="273">
        <v>250</v>
      </c>
      <c r="K759" s="273">
        <v>250</v>
      </c>
      <c r="L759" s="273" t="s">
        <v>2132</v>
      </c>
      <c r="M759" s="273" t="s">
        <v>500</v>
      </c>
    </row>
    <row r="760" spans="2:13" x14ac:dyDescent="0.25">
      <c r="B760" s="273" t="s">
        <v>2135</v>
      </c>
      <c r="C760" s="273" t="s">
        <v>2080</v>
      </c>
      <c r="D760" s="273" t="s">
        <v>2081</v>
      </c>
      <c r="E760" s="273" t="s">
        <v>2136</v>
      </c>
      <c r="F760" s="277" t="s">
        <v>2137</v>
      </c>
      <c r="G760" s="278"/>
      <c r="H760" s="278"/>
      <c r="I760" s="273">
        <v>1</v>
      </c>
      <c r="J760" s="273">
        <v>300</v>
      </c>
      <c r="K760" s="273">
        <v>300</v>
      </c>
      <c r="L760" s="273" t="s">
        <v>2135</v>
      </c>
      <c r="M760" s="273" t="s">
        <v>500</v>
      </c>
    </row>
    <row r="761" spans="2:13" x14ac:dyDescent="0.25">
      <c r="B761" s="273" t="s">
        <v>2138</v>
      </c>
      <c r="C761" s="273" t="s">
        <v>2080</v>
      </c>
      <c r="D761" s="273" t="s">
        <v>2081</v>
      </c>
      <c r="E761" s="273" t="s">
        <v>2005</v>
      </c>
      <c r="F761" s="277" t="s">
        <v>2139</v>
      </c>
      <c r="G761" s="278"/>
      <c r="H761" s="278"/>
      <c r="I761" s="273">
        <v>1</v>
      </c>
      <c r="J761" s="273">
        <v>34</v>
      </c>
      <c r="K761" s="273">
        <v>34</v>
      </c>
      <c r="L761" s="273" t="s">
        <v>2138</v>
      </c>
      <c r="M761" s="273" t="s">
        <v>500</v>
      </c>
    </row>
    <row r="762" spans="2:13" x14ac:dyDescent="0.25">
      <c r="B762" s="273" t="s">
        <v>2140</v>
      </c>
      <c r="C762" s="273" t="s">
        <v>2080</v>
      </c>
      <c r="D762" s="273" t="s">
        <v>2081</v>
      </c>
      <c r="E762" s="273" t="s">
        <v>329</v>
      </c>
      <c r="F762" s="277" t="s">
        <v>2141</v>
      </c>
      <c r="G762" s="278"/>
      <c r="H762" s="278"/>
      <c r="I762" s="273">
        <v>1</v>
      </c>
      <c r="J762" s="273">
        <v>36</v>
      </c>
      <c r="K762" s="273">
        <v>36</v>
      </c>
      <c r="L762" s="273" t="s">
        <v>2140</v>
      </c>
      <c r="M762" s="273" t="s">
        <v>500</v>
      </c>
    </row>
    <row r="763" spans="2:13" x14ac:dyDescent="0.25">
      <c r="B763" s="273" t="s">
        <v>2142</v>
      </c>
      <c r="C763" s="273" t="s">
        <v>2080</v>
      </c>
      <c r="D763" s="273" t="s">
        <v>2081</v>
      </c>
      <c r="E763" s="273" t="s">
        <v>2008</v>
      </c>
      <c r="F763" s="277" t="s">
        <v>2143</v>
      </c>
      <c r="G763" s="278"/>
      <c r="H763" s="278"/>
      <c r="I763" s="273">
        <v>1</v>
      </c>
      <c r="J763" s="273">
        <v>40</v>
      </c>
      <c r="K763" s="273">
        <v>40</v>
      </c>
      <c r="L763" s="273" t="s">
        <v>2142</v>
      </c>
      <c r="M763" s="273" t="s">
        <v>500</v>
      </c>
    </row>
    <row r="764" spans="2:13" x14ac:dyDescent="0.25">
      <c r="B764" s="273" t="s">
        <v>2144</v>
      </c>
      <c r="C764" s="273" t="s">
        <v>2080</v>
      </c>
      <c r="D764" s="273" t="s">
        <v>2081</v>
      </c>
      <c r="E764" s="273" t="s">
        <v>2145</v>
      </c>
      <c r="F764" s="277" t="s">
        <v>2146</v>
      </c>
      <c r="G764" s="278"/>
      <c r="H764" s="278"/>
      <c r="I764" s="273">
        <v>1</v>
      </c>
      <c r="J764" s="273">
        <v>400</v>
      </c>
      <c r="K764" s="273">
        <v>400</v>
      </c>
      <c r="L764" s="273" t="s">
        <v>2144</v>
      </c>
      <c r="M764" s="273" t="s">
        <v>500</v>
      </c>
    </row>
    <row r="765" spans="2:13" x14ac:dyDescent="0.25">
      <c r="B765" s="273" t="s">
        <v>2147</v>
      </c>
      <c r="C765" s="273" t="s">
        <v>2080</v>
      </c>
      <c r="D765" s="273" t="s">
        <v>2081</v>
      </c>
      <c r="E765" s="273" t="s">
        <v>2148</v>
      </c>
      <c r="F765" s="277" t="s">
        <v>2149</v>
      </c>
      <c r="G765" s="278"/>
      <c r="H765" s="278"/>
      <c r="I765" s="273">
        <v>1</v>
      </c>
      <c r="J765" s="273">
        <v>34</v>
      </c>
      <c r="K765" s="273">
        <v>34</v>
      </c>
      <c r="L765" s="273" t="s">
        <v>2147</v>
      </c>
      <c r="M765" s="273" t="s">
        <v>500</v>
      </c>
    </row>
    <row r="766" spans="2:13" x14ac:dyDescent="0.25">
      <c r="B766" s="273" t="s">
        <v>2150</v>
      </c>
      <c r="C766" s="273" t="s">
        <v>2080</v>
      </c>
      <c r="D766" s="273" t="s">
        <v>2081</v>
      </c>
      <c r="E766" s="273" t="s">
        <v>2151</v>
      </c>
      <c r="F766" s="277" t="s">
        <v>2152</v>
      </c>
      <c r="G766" s="278"/>
      <c r="H766" s="278"/>
      <c r="I766" s="273">
        <v>1</v>
      </c>
      <c r="J766" s="273">
        <v>34</v>
      </c>
      <c r="K766" s="273">
        <v>34</v>
      </c>
      <c r="L766" s="273" t="s">
        <v>2150</v>
      </c>
      <c r="M766" s="273" t="s">
        <v>500</v>
      </c>
    </row>
    <row r="767" spans="2:13" x14ac:dyDescent="0.25">
      <c r="B767" s="273" t="s">
        <v>2153</v>
      </c>
      <c r="C767" s="273" t="s">
        <v>2080</v>
      </c>
      <c r="D767" s="273" t="s">
        <v>2081</v>
      </c>
      <c r="E767" s="273" t="s">
        <v>2154</v>
      </c>
      <c r="F767" s="277" t="s">
        <v>2155</v>
      </c>
      <c r="G767" s="278"/>
      <c r="H767" s="278"/>
      <c r="I767" s="273">
        <v>1</v>
      </c>
      <c r="J767" s="273">
        <v>42</v>
      </c>
      <c r="K767" s="273">
        <v>42</v>
      </c>
      <c r="L767" s="273" t="s">
        <v>2153</v>
      </c>
      <c r="M767" s="273" t="s">
        <v>500</v>
      </c>
    </row>
    <row r="768" spans="2:13" x14ac:dyDescent="0.25">
      <c r="B768" s="273" t="s">
        <v>2156</v>
      </c>
      <c r="C768" s="273" t="s">
        <v>2080</v>
      </c>
      <c r="D768" s="273" t="s">
        <v>2081</v>
      </c>
      <c r="E768" s="273" t="s">
        <v>2157</v>
      </c>
      <c r="F768" s="277" t="s">
        <v>2158</v>
      </c>
      <c r="G768" s="278"/>
      <c r="H768" s="278"/>
      <c r="I768" s="273">
        <v>1</v>
      </c>
      <c r="J768" s="273">
        <v>448</v>
      </c>
      <c r="K768" s="273">
        <v>448</v>
      </c>
      <c r="L768" s="273" t="s">
        <v>2156</v>
      </c>
      <c r="M768" s="273" t="s">
        <v>500</v>
      </c>
    </row>
    <row r="769" spans="2:13" x14ac:dyDescent="0.25">
      <c r="B769" s="273" t="s">
        <v>2159</v>
      </c>
      <c r="C769" s="273" t="s">
        <v>2080</v>
      </c>
      <c r="D769" s="273" t="s">
        <v>2081</v>
      </c>
      <c r="E769" s="273" t="s">
        <v>2160</v>
      </c>
      <c r="F769" s="277" t="s">
        <v>2161</v>
      </c>
      <c r="G769" s="278"/>
      <c r="H769" s="278"/>
      <c r="I769" s="273">
        <v>1</v>
      </c>
      <c r="J769" s="273">
        <v>45</v>
      </c>
      <c r="K769" s="273">
        <v>45</v>
      </c>
      <c r="L769" s="273" t="s">
        <v>2159</v>
      </c>
      <c r="M769" s="273" t="s">
        <v>500</v>
      </c>
    </row>
    <row r="770" spans="2:13" x14ac:dyDescent="0.25">
      <c r="B770" s="273" t="s">
        <v>2162</v>
      </c>
      <c r="C770" s="273" t="s">
        <v>2080</v>
      </c>
      <c r="D770" s="273" t="s">
        <v>2081</v>
      </c>
      <c r="E770" s="273" t="s">
        <v>2061</v>
      </c>
      <c r="F770" s="277" t="s">
        <v>2163</v>
      </c>
      <c r="G770" s="278"/>
      <c r="H770" s="278"/>
      <c r="I770" s="273">
        <v>1</v>
      </c>
      <c r="J770" s="273">
        <v>50</v>
      </c>
      <c r="K770" s="273">
        <v>50</v>
      </c>
      <c r="L770" s="273" t="s">
        <v>2162</v>
      </c>
      <c r="M770" s="273" t="s">
        <v>500</v>
      </c>
    </row>
    <row r="771" spans="2:13" x14ac:dyDescent="0.25">
      <c r="B771" s="273" t="s">
        <v>2164</v>
      </c>
      <c r="C771" s="273" t="s">
        <v>2080</v>
      </c>
      <c r="D771" s="273" t="s">
        <v>2081</v>
      </c>
      <c r="E771" s="273" t="s">
        <v>2165</v>
      </c>
      <c r="F771" s="277" t="s">
        <v>2166</v>
      </c>
      <c r="G771" s="278"/>
      <c r="H771" s="278"/>
      <c r="I771" s="273">
        <v>1</v>
      </c>
      <c r="J771" s="273">
        <v>500</v>
      </c>
      <c r="K771" s="273">
        <v>500</v>
      </c>
      <c r="L771" s="273" t="s">
        <v>2164</v>
      </c>
      <c r="M771" s="273" t="s">
        <v>500</v>
      </c>
    </row>
    <row r="772" spans="2:13" x14ac:dyDescent="0.25">
      <c r="B772" s="273" t="s">
        <v>2167</v>
      </c>
      <c r="C772" s="273" t="s">
        <v>2080</v>
      </c>
      <c r="D772" s="273" t="s">
        <v>2081</v>
      </c>
      <c r="E772" s="273" t="s">
        <v>2168</v>
      </c>
      <c r="F772" s="277" t="s">
        <v>2169</v>
      </c>
      <c r="G772" s="278"/>
      <c r="H772" s="278"/>
      <c r="I772" s="273">
        <v>1</v>
      </c>
      <c r="J772" s="273">
        <v>52</v>
      </c>
      <c r="K772" s="273">
        <v>52</v>
      </c>
      <c r="L772" s="273" t="s">
        <v>2167</v>
      </c>
      <c r="M772" s="273" t="s">
        <v>500</v>
      </c>
    </row>
    <row r="773" spans="2:13" x14ac:dyDescent="0.25">
      <c r="B773" s="273" t="s">
        <v>2170</v>
      </c>
      <c r="C773" s="273" t="s">
        <v>2080</v>
      </c>
      <c r="D773" s="273" t="s">
        <v>2081</v>
      </c>
      <c r="E773" s="273" t="s">
        <v>2171</v>
      </c>
      <c r="F773" s="277" t="s">
        <v>2172</v>
      </c>
      <c r="G773" s="278"/>
      <c r="H773" s="278"/>
      <c r="I773" s="273">
        <v>1</v>
      </c>
      <c r="J773" s="273">
        <v>54</v>
      </c>
      <c r="K773" s="273">
        <v>54</v>
      </c>
      <c r="L773" s="273" t="s">
        <v>2170</v>
      </c>
      <c r="M773" s="273" t="s">
        <v>500</v>
      </c>
    </row>
    <row r="774" spans="2:13" x14ac:dyDescent="0.25">
      <c r="B774" s="273" t="s">
        <v>2173</v>
      </c>
      <c r="C774" s="273" t="s">
        <v>2080</v>
      </c>
      <c r="D774" s="273" t="s">
        <v>2081</v>
      </c>
      <c r="E774" s="273" t="s">
        <v>2174</v>
      </c>
      <c r="F774" s="277" t="s">
        <v>2175</v>
      </c>
      <c r="G774" s="278"/>
      <c r="H774" s="278"/>
      <c r="I774" s="273">
        <v>1</v>
      </c>
      <c r="J774" s="273">
        <v>55</v>
      </c>
      <c r="K774" s="273">
        <v>55</v>
      </c>
      <c r="L774" s="273" t="s">
        <v>2173</v>
      </c>
      <c r="M774" s="273" t="s">
        <v>500</v>
      </c>
    </row>
    <row r="775" spans="2:13" x14ac:dyDescent="0.25">
      <c r="B775" s="273" t="s">
        <v>2176</v>
      </c>
      <c r="C775" s="273" t="s">
        <v>2080</v>
      </c>
      <c r="D775" s="273" t="s">
        <v>2081</v>
      </c>
      <c r="E775" s="273" t="s">
        <v>2177</v>
      </c>
      <c r="F775" s="277" t="s">
        <v>2178</v>
      </c>
      <c r="G775" s="278"/>
      <c r="H775" s="278"/>
      <c r="I775" s="273">
        <v>1</v>
      </c>
      <c r="J775" s="273">
        <v>60</v>
      </c>
      <c r="K775" s="273">
        <v>60</v>
      </c>
      <c r="L775" s="273" t="s">
        <v>2176</v>
      </c>
      <c r="M775" s="273" t="s">
        <v>500</v>
      </c>
    </row>
    <row r="776" spans="2:13" x14ac:dyDescent="0.25">
      <c r="B776" s="273" t="s">
        <v>2179</v>
      </c>
      <c r="C776" s="273" t="s">
        <v>2080</v>
      </c>
      <c r="D776" s="273" t="s">
        <v>2081</v>
      </c>
      <c r="E776" s="273" t="s">
        <v>2180</v>
      </c>
      <c r="F776" s="277" t="s">
        <v>2181</v>
      </c>
      <c r="G776" s="278"/>
      <c r="H776" s="278"/>
      <c r="I776" s="273">
        <v>1</v>
      </c>
      <c r="J776" s="273">
        <v>52</v>
      </c>
      <c r="K776" s="273">
        <v>52</v>
      </c>
      <c r="L776" s="273" t="s">
        <v>2179</v>
      </c>
      <c r="M776" s="273" t="s">
        <v>500</v>
      </c>
    </row>
    <row r="777" spans="2:13" x14ac:dyDescent="0.25">
      <c r="B777" s="273" t="s">
        <v>2182</v>
      </c>
      <c r="C777" s="273" t="s">
        <v>2080</v>
      </c>
      <c r="D777" s="273" t="s">
        <v>2081</v>
      </c>
      <c r="E777" s="273" t="s">
        <v>2183</v>
      </c>
      <c r="F777" s="277" t="s">
        <v>2184</v>
      </c>
      <c r="G777" s="278"/>
      <c r="H777" s="278"/>
      <c r="I777" s="273">
        <v>1</v>
      </c>
      <c r="J777" s="273">
        <v>52</v>
      </c>
      <c r="K777" s="273">
        <v>52</v>
      </c>
      <c r="L777" s="273" t="s">
        <v>2182</v>
      </c>
      <c r="M777" s="273" t="s">
        <v>500</v>
      </c>
    </row>
    <row r="778" spans="2:13" x14ac:dyDescent="0.25">
      <c r="B778" s="273" t="s">
        <v>2185</v>
      </c>
      <c r="C778" s="273" t="s">
        <v>2080</v>
      </c>
      <c r="D778" s="273" t="s">
        <v>2081</v>
      </c>
      <c r="E778" s="273" t="s">
        <v>2186</v>
      </c>
      <c r="F778" s="277" t="s">
        <v>2187</v>
      </c>
      <c r="G778" s="278"/>
      <c r="H778" s="278"/>
      <c r="I778" s="273">
        <v>1</v>
      </c>
      <c r="J778" s="273">
        <v>65</v>
      </c>
      <c r="K778" s="273">
        <v>65</v>
      </c>
      <c r="L778" s="273" t="s">
        <v>2185</v>
      </c>
      <c r="M778" s="273" t="s">
        <v>500</v>
      </c>
    </row>
    <row r="779" spans="2:13" x14ac:dyDescent="0.25">
      <c r="B779" s="273" t="s">
        <v>2188</v>
      </c>
      <c r="C779" s="273" t="s">
        <v>2080</v>
      </c>
      <c r="D779" s="273" t="s">
        <v>2081</v>
      </c>
      <c r="E779" s="273" t="s">
        <v>2189</v>
      </c>
      <c r="F779" s="277" t="s">
        <v>2190</v>
      </c>
      <c r="G779" s="278"/>
      <c r="H779" s="278"/>
      <c r="I779" s="273">
        <v>1</v>
      </c>
      <c r="J779" s="273">
        <v>67</v>
      </c>
      <c r="K779" s="273">
        <v>67</v>
      </c>
      <c r="L779" s="273" t="s">
        <v>2188</v>
      </c>
      <c r="M779" s="273" t="s">
        <v>500</v>
      </c>
    </row>
    <row r="780" spans="2:13" x14ac:dyDescent="0.25">
      <c r="B780" s="273" t="s">
        <v>2191</v>
      </c>
      <c r="C780" s="273" t="s">
        <v>2080</v>
      </c>
      <c r="D780" s="273" t="s">
        <v>2081</v>
      </c>
      <c r="E780" s="273" t="s">
        <v>2192</v>
      </c>
      <c r="F780" s="277" t="s">
        <v>2193</v>
      </c>
      <c r="G780" s="278"/>
      <c r="H780" s="278"/>
      <c r="I780" s="273">
        <v>1</v>
      </c>
      <c r="J780" s="273">
        <v>69</v>
      </c>
      <c r="K780" s="273">
        <v>69</v>
      </c>
      <c r="L780" s="273" t="s">
        <v>2191</v>
      </c>
      <c r="M780" s="273" t="s">
        <v>500</v>
      </c>
    </row>
    <row r="781" spans="2:13" x14ac:dyDescent="0.25">
      <c r="B781" s="273" t="s">
        <v>2194</v>
      </c>
      <c r="C781" s="273" t="s">
        <v>2080</v>
      </c>
      <c r="D781" s="273" t="s">
        <v>2081</v>
      </c>
      <c r="E781" s="273" t="s">
        <v>2014</v>
      </c>
      <c r="F781" s="277" t="s">
        <v>2195</v>
      </c>
      <c r="G781" s="278"/>
      <c r="H781" s="278"/>
      <c r="I781" s="273">
        <v>1</v>
      </c>
      <c r="J781" s="273">
        <v>7.5</v>
      </c>
      <c r="K781" s="273">
        <v>8</v>
      </c>
      <c r="L781" s="273" t="s">
        <v>2194</v>
      </c>
      <c r="M781" s="273" t="s">
        <v>500</v>
      </c>
    </row>
    <row r="782" spans="2:13" x14ac:dyDescent="0.25">
      <c r="B782" s="273" t="s">
        <v>2196</v>
      </c>
      <c r="C782" s="273" t="s">
        <v>2080</v>
      </c>
      <c r="D782" s="273" t="s">
        <v>2081</v>
      </c>
      <c r="E782" s="273" t="s">
        <v>2197</v>
      </c>
      <c r="F782" s="277" t="s">
        <v>2198</v>
      </c>
      <c r="G782" s="278"/>
      <c r="H782" s="278"/>
      <c r="I782" s="273">
        <v>1</v>
      </c>
      <c r="J782" s="273">
        <v>72</v>
      </c>
      <c r="K782" s="273">
        <v>72</v>
      </c>
      <c r="L782" s="273" t="s">
        <v>2196</v>
      </c>
      <c r="M782" s="273" t="s">
        <v>500</v>
      </c>
    </row>
    <row r="783" spans="2:13" x14ac:dyDescent="0.25">
      <c r="B783" s="273" t="s">
        <v>2199</v>
      </c>
      <c r="C783" s="273" t="s">
        <v>2080</v>
      </c>
      <c r="D783" s="273" t="s">
        <v>2081</v>
      </c>
      <c r="E783" s="273" t="s">
        <v>2200</v>
      </c>
      <c r="F783" s="277" t="s">
        <v>2201</v>
      </c>
      <c r="G783" s="278"/>
      <c r="H783" s="278"/>
      <c r="I783" s="273">
        <v>1</v>
      </c>
      <c r="J783" s="273">
        <v>75</v>
      </c>
      <c r="K783" s="273">
        <v>75</v>
      </c>
      <c r="L783" s="273" t="s">
        <v>2199</v>
      </c>
      <c r="M783" s="273" t="s">
        <v>500</v>
      </c>
    </row>
    <row r="784" spans="2:13" x14ac:dyDescent="0.25">
      <c r="B784" s="273" t="s">
        <v>2202</v>
      </c>
      <c r="C784" s="273" t="s">
        <v>2080</v>
      </c>
      <c r="D784" s="273" t="s">
        <v>2081</v>
      </c>
      <c r="E784" s="273" t="s">
        <v>2203</v>
      </c>
      <c r="F784" s="277" t="s">
        <v>2204</v>
      </c>
      <c r="G784" s="278"/>
      <c r="H784" s="278"/>
      <c r="I784" s="273">
        <v>1</v>
      </c>
      <c r="J784" s="273">
        <v>750</v>
      </c>
      <c r="K784" s="273">
        <v>750</v>
      </c>
      <c r="L784" s="273" t="s">
        <v>2202</v>
      </c>
      <c r="M784" s="273" t="s">
        <v>500</v>
      </c>
    </row>
    <row r="785" spans="2:13" x14ac:dyDescent="0.25">
      <c r="B785" s="273" t="s">
        <v>2205</v>
      </c>
      <c r="C785" s="273" t="s">
        <v>2080</v>
      </c>
      <c r="D785" s="273" t="s">
        <v>2081</v>
      </c>
      <c r="E785" s="273" t="s">
        <v>2206</v>
      </c>
      <c r="F785" s="277" t="s">
        <v>2207</v>
      </c>
      <c r="G785" s="278"/>
      <c r="H785" s="278"/>
      <c r="I785" s="273">
        <v>1</v>
      </c>
      <c r="J785" s="273">
        <v>67</v>
      </c>
      <c r="K785" s="273">
        <v>67</v>
      </c>
      <c r="L785" s="273" t="s">
        <v>2205</v>
      </c>
      <c r="M785" s="273" t="s">
        <v>500</v>
      </c>
    </row>
    <row r="786" spans="2:13" x14ac:dyDescent="0.25">
      <c r="B786" s="273" t="s">
        <v>2208</v>
      </c>
      <c r="C786" s="273" t="s">
        <v>2080</v>
      </c>
      <c r="D786" s="273" t="s">
        <v>2081</v>
      </c>
      <c r="E786" s="273" t="s">
        <v>2209</v>
      </c>
      <c r="F786" s="277" t="s">
        <v>2210</v>
      </c>
      <c r="G786" s="278"/>
      <c r="H786" s="278"/>
      <c r="I786" s="273">
        <v>1</v>
      </c>
      <c r="J786" s="273">
        <v>67</v>
      </c>
      <c r="K786" s="273">
        <v>67</v>
      </c>
      <c r="L786" s="273" t="s">
        <v>2208</v>
      </c>
      <c r="M786" s="273" t="s">
        <v>500</v>
      </c>
    </row>
    <row r="787" spans="2:13" x14ac:dyDescent="0.25">
      <c r="B787" s="273" t="s">
        <v>2211</v>
      </c>
      <c r="C787" s="273" t="s">
        <v>2080</v>
      </c>
      <c r="D787" s="273" t="s">
        <v>2081</v>
      </c>
      <c r="E787" s="273" t="s">
        <v>2212</v>
      </c>
      <c r="F787" s="277" t="s">
        <v>2213</v>
      </c>
      <c r="G787" s="278"/>
      <c r="H787" s="278"/>
      <c r="I787" s="273">
        <v>1</v>
      </c>
      <c r="J787" s="273">
        <v>80</v>
      </c>
      <c r="K787" s="273">
        <v>80</v>
      </c>
      <c r="L787" s="273" t="s">
        <v>2211</v>
      </c>
      <c r="M787" s="273" t="s">
        <v>500</v>
      </c>
    </row>
    <row r="788" spans="2:13" x14ac:dyDescent="0.25">
      <c r="B788" s="273" t="s">
        <v>2214</v>
      </c>
      <c r="C788" s="273" t="s">
        <v>2080</v>
      </c>
      <c r="D788" s="273" t="s">
        <v>2081</v>
      </c>
      <c r="E788" s="273" t="s">
        <v>2215</v>
      </c>
      <c r="F788" s="277" t="s">
        <v>2216</v>
      </c>
      <c r="G788" s="278"/>
      <c r="H788" s="278"/>
      <c r="I788" s="273">
        <v>1</v>
      </c>
      <c r="J788" s="273">
        <v>85</v>
      </c>
      <c r="K788" s="273">
        <v>85</v>
      </c>
      <c r="L788" s="273" t="s">
        <v>2214</v>
      </c>
      <c r="M788" s="273" t="s">
        <v>500</v>
      </c>
    </row>
    <row r="789" spans="2:13" x14ac:dyDescent="0.25">
      <c r="B789" s="273" t="s">
        <v>2217</v>
      </c>
      <c r="C789" s="273" t="s">
        <v>2080</v>
      </c>
      <c r="D789" s="273" t="s">
        <v>2081</v>
      </c>
      <c r="E789" s="273" t="s">
        <v>2218</v>
      </c>
      <c r="F789" s="277" t="s">
        <v>2219</v>
      </c>
      <c r="G789" s="278"/>
      <c r="H789" s="278"/>
      <c r="I789" s="273">
        <v>1</v>
      </c>
      <c r="J789" s="273">
        <v>90</v>
      </c>
      <c r="K789" s="273">
        <v>90</v>
      </c>
      <c r="L789" s="273" t="s">
        <v>2217</v>
      </c>
      <c r="M789" s="273" t="s">
        <v>500</v>
      </c>
    </row>
    <row r="790" spans="2:13" x14ac:dyDescent="0.25">
      <c r="B790" s="273" t="s">
        <v>2220</v>
      </c>
      <c r="C790" s="273" t="s">
        <v>2080</v>
      </c>
      <c r="D790" s="273" t="s">
        <v>2081</v>
      </c>
      <c r="E790" s="273" t="s">
        <v>2221</v>
      </c>
      <c r="F790" s="277" t="s">
        <v>2222</v>
      </c>
      <c r="G790" s="278"/>
      <c r="H790" s="278"/>
      <c r="I790" s="273">
        <v>1</v>
      </c>
      <c r="J790" s="273">
        <v>93</v>
      </c>
      <c r="K790" s="273">
        <v>93</v>
      </c>
      <c r="L790" s="273" t="s">
        <v>2220</v>
      </c>
      <c r="M790" s="273" t="s">
        <v>500</v>
      </c>
    </row>
    <row r="791" spans="2:13" x14ac:dyDescent="0.25">
      <c r="B791" s="273" t="s">
        <v>2223</v>
      </c>
      <c r="C791" s="273" t="s">
        <v>2080</v>
      </c>
      <c r="D791" s="273" t="s">
        <v>2081</v>
      </c>
      <c r="E791" s="273" t="s">
        <v>2224</v>
      </c>
      <c r="F791" s="277" t="s">
        <v>2225</v>
      </c>
      <c r="G791" s="278"/>
      <c r="H791" s="278"/>
      <c r="I791" s="273">
        <v>1</v>
      </c>
      <c r="J791" s="273">
        <v>95</v>
      </c>
      <c r="K791" s="273">
        <v>95</v>
      </c>
      <c r="L791" s="273" t="s">
        <v>2223</v>
      </c>
      <c r="M791" s="273" t="s">
        <v>500</v>
      </c>
    </row>
    <row r="792" spans="2:13" x14ac:dyDescent="0.25">
      <c r="B792" s="273" t="s">
        <v>2226</v>
      </c>
      <c r="C792" s="273" t="s">
        <v>2080</v>
      </c>
      <c r="D792" s="273" t="s">
        <v>2081</v>
      </c>
      <c r="E792" s="273" t="s">
        <v>2082</v>
      </c>
      <c r="F792" s="277" t="s">
        <v>2227</v>
      </c>
      <c r="G792" s="278"/>
      <c r="H792" s="278"/>
      <c r="I792" s="273">
        <v>2</v>
      </c>
      <c r="J792" s="273">
        <v>100</v>
      </c>
      <c r="K792" s="273">
        <v>200</v>
      </c>
      <c r="L792" s="273" t="s">
        <v>2226</v>
      </c>
      <c r="M792" s="273" t="s">
        <v>500</v>
      </c>
    </row>
    <row r="793" spans="2:13" x14ac:dyDescent="0.25">
      <c r="B793" s="273" t="s">
        <v>2228</v>
      </c>
      <c r="C793" s="273" t="s">
        <v>2080</v>
      </c>
      <c r="D793" s="273" t="s">
        <v>2081</v>
      </c>
      <c r="E793" s="273" t="s">
        <v>2094</v>
      </c>
      <c r="F793" s="277" t="s">
        <v>2229</v>
      </c>
      <c r="G793" s="278"/>
      <c r="H793" s="278"/>
      <c r="I793" s="273">
        <v>2</v>
      </c>
      <c r="J793" s="273">
        <v>120</v>
      </c>
      <c r="K793" s="273">
        <v>240</v>
      </c>
      <c r="L793" s="273" t="s">
        <v>2228</v>
      </c>
      <c r="M793" s="273" t="s">
        <v>500</v>
      </c>
    </row>
    <row r="794" spans="2:13" x14ac:dyDescent="0.25">
      <c r="B794" s="273" t="s">
        <v>2230</v>
      </c>
      <c r="C794" s="273" t="s">
        <v>2080</v>
      </c>
      <c r="D794" s="273" t="s">
        <v>2081</v>
      </c>
      <c r="E794" s="273" t="s">
        <v>2100</v>
      </c>
      <c r="F794" s="277" t="s">
        <v>2231</v>
      </c>
      <c r="G794" s="278"/>
      <c r="H794" s="278"/>
      <c r="I794" s="273">
        <v>2</v>
      </c>
      <c r="J794" s="273">
        <v>135</v>
      </c>
      <c r="K794" s="273">
        <v>270</v>
      </c>
      <c r="L794" s="273" t="s">
        <v>2230</v>
      </c>
      <c r="M794" s="273" t="s">
        <v>500</v>
      </c>
    </row>
    <row r="795" spans="2:13" x14ac:dyDescent="0.25">
      <c r="B795" s="273" t="s">
        <v>2232</v>
      </c>
      <c r="C795" s="273" t="s">
        <v>2080</v>
      </c>
      <c r="D795" s="273" t="s">
        <v>2081</v>
      </c>
      <c r="E795" s="273" t="s">
        <v>1997</v>
      </c>
      <c r="F795" s="277" t="s">
        <v>2233</v>
      </c>
      <c r="G795" s="278"/>
      <c r="H795" s="278"/>
      <c r="I795" s="273">
        <v>2</v>
      </c>
      <c r="J795" s="273">
        <v>15</v>
      </c>
      <c r="K795" s="273">
        <v>30</v>
      </c>
      <c r="L795" s="273" t="s">
        <v>2232</v>
      </c>
      <c r="M795" s="273" t="s">
        <v>500</v>
      </c>
    </row>
    <row r="796" spans="2:13" x14ac:dyDescent="0.25">
      <c r="B796" s="273" t="s">
        <v>2234</v>
      </c>
      <c r="C796" s="273" t="s">
        <v>2080</v>
      </c>
      <c r="D796" s="273" t="s">
        <v>2081</v>
      </c>
      <c r="E796" s="273" t="s">
        <v>2105</v>
      </c>
      <c r="F796" s="277" t="s">
        <v>2235</v>
      </c>
      <c r="G796" s="278"/>
      <c r="H796" s="278"/>
      <c r="I796" s="273">
        <v>2</v>
      </c>
      <c r="J796" s="273">
        <v>150</v>
      </c>
      <c r="K796" s="273">
        <v>300</v>
      </c>
      <c r="L796" s="273" t="s">
        <v>2234</v>
      </c>
      <c r="M796" s="273" t="s">
        <v>500</v>
      </c>
    </row>
    <row r="797" spans="2:13" x14ac:dyDescent="0.25">
      <c r="B797" s="273" t="s">
        <v>2236</v>
      </c>
      <c r="C797" s="273" t="s">
        <v>2080</v>
      </c>
      <c r="D797" s="273" t="s">
        <v>2081</v>
      </c>
      <c r="E797" s="273" t="s">
        <v>2000</v>
      </c>
      <c r="F797" s="277" t="s">
        <v>2237</v>
      </c>
      <c r="G797" s="278"/>
      <c r="H797" s="278"/>
      <c r="I797" s="273">
        <v>2</v>
      </c>
      <c r="J797" s="273">
        <v>20</v>
      </c>
      <c r="K797" s="273">
        <v>40</v>
      </c>
      <c r="L797" s="273" t="s">
        <v>2236</v>
      </c>
      <c r="M797" s="273" t="s">
        <v>500</v>
      </c>
    </row>
    <row r="798" spans="2:13" x14ac:dyDescent="0.25">
      <c r="B798" s="273" t="s">
        <v>2238</v>
      </c>
      <c r="C798" s="273" t="s">
        <v>2080</v>
      </c>
      <c r="D798" s="273" t="s">
        <v>2081</v>
      </c>
      <c r="E798" s="273" t="s">
        <v>2122</v>
      </c>
      <c r="F798" s="277" t="s">
        <v>2239</v>
      </c>
      <c r="G798" s="278"/>
      <c r="H798" s="278"/>
      <c r="I798" s="273">
        <v>2</v>
      </c>
      <c r="J798" s="273">
        <v>200</v>
      </c>
      <c r="K798" s="273">
        <v>400</v>
      </c>
      <c r="L798" s="273" t="s">
        <v>2238</v>
      </c>
      <c r="M798" s="273" t="s">
        <v>500</v>
      </c>
    </row>
    <row r="799" spans="2:13" x14ac:dyDescent="0.25">
      <c r="B799" s="273" t="s">
        <v>2240</v>
      </c>
      <c r="C799" s="273" t="s">
        <v>2080</v>
      </c>
      <c r="D799" s="273" t="s">
        <v>2081</v>
      </c>
      <c r="E799" s="273" t="s">
        <v>323</v>
      </c>
      <c r="F799" s="277" t="s">
        <v>2241</v>
      </c>
      <c r="G799" s="278"/>
      <c r="H799" s="278"/>
      <c r="I799" s="273">
        <v>2</v>
      </c>
      <c r="J799" s="273">
        <v>25</v>
      </c>
      <c r="K799" s="273">
        <v>50</v>
      </c>
      <c r="L799" s="273" t="s">
        <v>2240</v>
      </c>
      <c r="M799" s="273" t="s">
        <v>500</v>
      </c>
    </row>
    <row r="800" spans="2:13" x14ac:dyDescent="0.25">
      <c r="B800" s="273" t="s">
        <v>2242</v>
      </c>
      <c r="C800" s="273" t="s">
        <v>2080</v>
      </c>
      <c r="D800" s="273" t="s">
        <v>2081</v>
      </c>
      <c r="E800" s="273" t="s">
        <v>2005</v>
      </c>
      <c r="F800" s="277" t="s">
        <v>2243</v>
      </c>
      <c r="G800" s="278"/>
      <c r="H800" s="278"/>
      <c r="I800" s="273">
        <v>2</v>
      </c>
      <c r="J800" s="273">
        <v>34</v>
      </c>
      <c r="K800" s="273">
        <v>68</v>
      </c>
      <c r="L800" s="273" t="s">
        <v>2242</v>
      </c>
      <c r="M800" s="273" t="s">
        <v>500</v>
      </c>
    </row>
    <row r="801" spans="2:13" x14ac:dyDescent="0.25">
      <c r="B801" s="273" t="s">
        <v>2244</v>
      </c>
      <c r="C801" s="273" t="s">
        <v>2080</v>
      </c>
      <c r="D801" s="273" t="s">
        <v>2081</v>
      </c>
      <c r="E801" s="273" t="s">
        <v>2008</v>
      </c>
      <c r="F801" s="277" t="s">
        <v>2245</v>
      </c>
      <c r="G801" s="278"/>
      <c r="H801" s="278"/>
      <c r="I801" s="273">
        <v>2</v>
      </c>
      <c r="J801" s="273">
        <v>40</v>
      </c>
      <c r="K801" s="273">
        <v>80</v>
      </c>
      <c r="L801" s="273" t="s">
        <v>2244</v>
      </c>
      <c r="M801" s="273" t="s">
        <v>500</v>
      </c>
    </row>
    <row r="802" spans="2:13" x14ac:dyDescent="0.25">
      <c r="B802" s="273" t="s">
        <v>2246</v>
      </c>
      <c r="C802" s="273" t="s">
        <v>2080</v>
      </c>
      <c r="D802" s="273" t="s">
        <v>2081</v>
      </c>
      <c r="E802" s="273" t="s">
        <v>2061</v>
      </c>
      <c r="F802" s="277" t="s">
        <v>2247</v>
      </c>
      <c r="G802" s="278"/>
      <c r="H802" s="278"/>
      <c r="I802" s="273">
        <v>2</v>
      </c>
      <c r="J802" s="273">
        <v>50</v>
      </c>
      <c r="K802" s="273">
        <v>100</v>
      </c>
      <c r="L802" s="273" t="s">
        <v>2246</v>
      </c>
      <c r="M802" s="273" t="s">
        <v>500</v>
      </c>
    </row>
    <row r="803" spans="2:13" x14ac:dyDescent="0.25">
      <c r="B803" s="273" t="s">
        <v>2248</v>
      </c>
      <c r="C803" s="273" t="s">
        <v>2080</v>
      </c>
      <c r="D803" s="273" t="s">
        <v>2081</v>
      </c>
      <c r="E803" s="273" t="s">
        <v>2168</v>
      </c>
      <c r="F803" s="277" t="s">
        <v>2249</v>
      </c>
      <c r="G803" s="278"/>
      <c r="H803" s="278"/>
      <c r="I803" s="273">
        <v>2</v>
      </c>
      <c r="J803" s="273">
        <v>52</v>
      </c>
      <c r="K803" s="273">
        <v>104</v>
      </c>
      <c r="L803" s="273" t="s">
        <v>2248</v>
      </c>
      <c r="M803" s="273" t="s">
        <v>500</v>
      </c>
    </row>
    <row r="804" spans="2:13" x14ac:dyDescent="0.25">
      <c r="B804" s="273" t="s">
        <v>2250</v>
      </c>
      <c r="C804" s="273" t="s">
        <v>2080</v>
      </c>
      <c r="D804" s="273" t="s">
        <v>2081</v>
      </c>
      <c r="E804" s="273" t="s">
        <v>2171</v>
      </c>
      <c r="F804" s="277" t="s">
        <v>2251</v>
      </c>
      <c r="G804" s="278"/>
      <c r="H804" s="278"/>
      <c r="I804" s="273">
        <v>2</v>
      </c>
      <c r="J804" s="273">
        <v>54</v>
      </c>
      <c r="K804" s="273">
        <v>108</v>
      </c>
      <c r="L804" s="273" t="s">
        <v>2250</v>
      </c>
      <c r="M804" s="273" t="s">
        <v>500</v>
      </c>
    </row>
    <row r="805" spans="2:13" x14ac:dyDescent="0.25">
      <c r="B805" s="273" t="s">
        <v>2252</v>
      </c>
      <c r="C805" s="273" t="s">
        <v>2080</v>
      </c>
      <c r="D805" s="273" t="s">
        <v>2081</v>
      </c>
      <c r="E805" s="273" t="s">
        <v>2174</v>
      </c>
      <c r="F805" s="277" t="s">
        <v>2253</v>
      </c>
      <c r="G805" s="278"/>
      <c r="H805" s="278"/>
      <c r="I805" s="273">
        <v>2</v>
      </c>
      <c r="J805" s="273">
        <v>55</v>
      </c>
      <c r="K805" s="273">
        <v>110</v>
      </c>
      <c r="L805" s="273" t="s">
        <v>2252</v>
      </c>
      <c r="M805" s="273" t="s">
        <v>500</v>
      </c>
    </row>
    <row r="806" spans="2:13" x14ac:dyDescent="0.25">
      <c r="B806" s="273" t="s">
        <v>2254</v>
      </c>
      <c r="C806" s="273" t="s">
        <v>2080</v>
      </c>
      <c r="D806" s="273" t="s">
        <v>2081</v>
      </c>
      <c r="E806" s="273" t="s">
        <v>2177</v>
      </c>
      <c r="F806" s="277" t="s">
        <v>2255</v>
      </c>
      <c r="G806" s="278"/>
      <c r="H806" s="278"/>
      <c r="I806" s="273">
        <v>2</v>
      </c>
      <c r="J806" s="273">
        <v>60</v>
      </c>
      <c r="K806" s="273">
        <v>120</v>
      </c>
      <c r="L806" s="273" t="s">
        <v>2254</v>
      </c>
      <c r="M806" s="273" t="s">
        <v>500</v>
      </c>
    </row>
    <row r="807" spans="2:13" x14ac:dyDescent="0.25">
      <c r="B807" s="273" t="s">
        <v>2256</v>
      </c>
      <c r="C807" s="273" t="s">
        <v>2080</v>
      </c>
      <c r="D807" s="273" t="s">
        <v>2081</v>
      </c>
      <c r="E807" s="273" t="s">
        <v>2186</v>
      </c>
      <c r="F807" s="277" t="s">
        <v>2257</v>
      </c>
      <c r="G807" s="278"/>
      <c r="H807" s="278"/>
      <c r="I807" s="273">
        <v>2</v>
      </c>
      <c r="J807" s="273">
        <v>65</v>
      </c>
      <c r="K807" s="273">
        <v>130</v>
      </c>
      <c r="L807" s="273" t="s">
        <v>2256</v>
      </c>
      <c r="M807" s="273" t="s">
        <v>500</v>
      </c>
    </row>
    <row r="808" spans="2:13" x14ac:dyDescent="0.25">
      <c r="B808" s="273" t="s">
        <v>2258</v>
      </c>
      <c r="C808" s="273" t="s">
        <v>2080</v>
      </c>
      <c r="D808" s="273" t="s">
        <v>2081</v>
      </c>
      <c r="E808" s="273" t="s">
        <v>2189</v>
      </c>
      <c r="F808" s="277" t="s">
        <v>2259</v>
      </c>
      <c r="G808" s="278"/>
      <c r="H808" s="278"/>
      <c r="I808" s="273">
        <v>2</v>
      </c>
      <c r="J808" s="273">
        <v>67</v>
      </c>
      <c r="K808" s="273">
        <v>134</v>
      </c>
      <c r="L808" s="273" t="s">
        <v>2258</v>
      </c>
      <c r="M808" s="273" t="s">
        <v>500</v>
      </c>
    </row>
    <row r="809" spans="2:13" x14ac:dyDescent="0.25">
      <c r="B809" s="273" t="s">
        <v>2260</v>
      </c>
      <c r="C809" s="273" t="s">
        <v>2080</v>
      </c>
      <c r="D809" s="273" t="s">
        <v>2081</v>
      </c>
      <c r="E809" s="273" t="s">
        <v>2014</v>
      </c>
      <c r="F809" s="277" t="s">
        <v>2261</v>
      </c>
      <c r="G809" s="278"/>
      <c r="H809" s="278"/>
      <c r="I809" s="273">
        <v>2</v>
      </c>
      <c r="J809" s="273">
        <v>7.5</v>
      </c>
      <c r="K809" s="273">
        <v>15</v>
      </c>
      <c r="L809" s="273" t="s">
        <v>2260</v>
      </c>
      <c r="M809" s="273" t="s">
        <v>500</v>
      </c>
    </row>
    <row r="810" spans="2:13" x14ac:dyDescent="0.25">
      <c r="B810" s="273" t="s">
        <v>2262</v>
      </c>
      <c r="C810" s="273" t="s">
        <v>2080</v>
      </c>
      <c r="D810" s="273" t="s">
        <v>2081</v>
      </c>
      <c r="E810" s="273" t="s">
        <v>2200</v>
      </c>
      <c r="F810" s="277" t="s">
        <v>2263</v>
      </c>
      <c r="G810" s="278"/>
      <c r="H810" s="278"/>
      <c r="I810" s="273">
        <v>2</v>
      </c>
      <c r="J810" s="273">
        <v>75</v>
      </c>
      <c r="K810" s="273">
        <v>150</v>
      </c>
      <c r="L810" s="273" t="s">
        <v>2262</v>
      </c>
      <c r="M810" s="273" t="s">
        <v>500</v>
      </c>
    </row>
    <row r="811" spans="2:13" x14ac:dyDescent="0.25">
      <c r="B811" s="273" t="s">
        <v>2264</v>
      </c>
      <c r="C811" s="273" t="s">
        <v>2080</v>
      </c>
      <c r="D811" s="273" t="s">
        <v>2081</v>
      </c>
      <c r="E811" s="273" t="s">
        <v>2218</v>
      </c>
      <c r="F811" s="277" t="s">
        <v>2265</v>
      </c>
      <c r="G811" s="278"/>
      <c r="H811" s="278"/>
      <c r="I811" s="273">
        <v>2</v>
      </c>
      <c r="J811" s="273">
        <v>90</v>
      </c>
      <c r="K811" s="273">
        <v>180</v>
      </c>
      <c r="L811" s="273" t="s">
        <v>2264</v>
      </c>
      <c r="M811" s="273" t="s">
        <v>500</v>
      </c>
    </row>
    <row r="812" spans="2:13" x14ac:dyDescent="0.25">
      <c r="B812" s="273" t="s">
        <v>2266</v>
      </c>
      <c r="C812" s="273" t="s">
        <v>2080</v>
      </c>
      <c r="D812" s="273" t="s">
        <v>2081</v>
      </c>
      <c r="E812" s="273" t="s">
        <v>2224</v>
      </c>
      <c r="F812" s="277" t="s">
        <v>2267</v>
      </c>
      <c r="G812" s="278"/>
      <c r="H812" s="278"/>
      <c r="I812" s="273">
        <v>2</v>
      </c>
      <c r="J812" s="273">
        <v>95</v>
      </c>
      <c r="K812" s="273">
        <v>190</v>
      </c>
      <c r="L812" s="273" t="s">
        <v>2266</v>
      </c>
      <c r="M812" s="273" t="s">
        <v>500</v>
      </c>
    </row>
    <row r="813" spans="2:13" x14ac:dyDescent="0.25">
      <c r="B813" s="273" t="s">
        <v>2268</v>
      </c>
      <c r="C813" s="273" t="s">
        <v>2080</v>
      </c>
      <c r="D813" s="273" t="s">
        <v>2081</v>
      </c>
      <c r="E813" s="273" t="s">
        <v>2082</v>
      </c>
      <c r="F813" s="277" t="s">
        <v>2269</v>
      </c>
      <c r="G813" s="278"/>
      <c r="H813" s="278"/>
      <c r="I813" s="273">
        <v>3</v>
      </c>
      <c r="J813" s="273">
        <v>100</v>
      </c>
      <c r="K813" s="273">
        <v>300</v>
      </c>
      <c r="L813" s="273" t="s">
        <v>2268</v>
      </c>
      <c r="M813" s="273" t="s">
        <v>500</v>
      </c>
    </row>
    <row r="814" spans="2:13" x14ac:dyDescent="0.25">
      <c r="B814" s="273" t="s">
        <v>2270</v>
      </c>
      <c r="C814" s="273" t="s">
        <v>2080</v>
      </c>
      <c r="D814" s="273" t="s">
        <v>2081</v>
      </c>
      <c r="E814" s="273" t="s">
        <v>2177</v>
      </c>
      <c r="F814" s="277" t="s">
        <v>2271</v>
      </c>
      <c r="G814" s="278"/>
      <c r="H814" s="278"/>
      <c r="I814" s="273">
        <v>3</v>
      </c>
      <c r="J814" s="273">
        <v>60</v>
      </c>
      <c r="K814" s="273">
        <v>180</v>
      </c>
      <c r="L814" s="273" t="s">
        <v>2270</v>
      </c>
      <c r="M814" s="273" t="s">
        <v>500</v>
      </c>
    </row>
    <row r="815" spans="2:13" x14ac:dyDescent="0.25">
      <c r="B815" s="273" t="s">
        <v>2272</v>
      </c>
      <c r="C815" s="273" t="s">
        <v>2080</v>
      </c>
      <c r="D815" s="273" t="s">
        <v>2081</v>
      </c>
      <c r="E815" s="273" t="s">
        <v>2189</v>
      </c>
      <c r="F815" s="277" t="s">
        <v>2273</v>
      </c>
      <c r="G815" s="278"/>
      <c r="H815" s="278"/>
      <c r="I815" s="273">
        <v>3</v>
      </c>
      <c r="J815" s="273">
        <v>67</v>
      </c>
      <c r="K815" s="273">
        <v>201</v>
      </c>
      <c r="L815" s="273" t="s">
        <v>2272</v>
      </c>
      <c r="M815" s="273" t="s">
        <v>500</v>
      </c>
    </row>
    <row r="816" spans="2:13" x14ac:dyDescent="0.25">
      <c r="B816" s="273" t="s">
        <v>2274</v>
      </c>
      <c r="C816" s="273" t="s">
        <v>2080</v>
      </c>
      <c r="D816" s="273" t="s">
        <v>2081</v>
      </c>
      <c r="E816" s="273" t="s">
        <v>2200</v>
      </c>
      <c r="F816" s="277" t="s">
        <v>2275</v>
      </c>
      <c r="G816" s="278"/>
      <c r="H816" s="278"/>
      <c r="I816" s="273">
        <v>3</v>
      </c>
      <c r="J816" s="273">
        <v>75</v>
      </c>
      <c r="K816" s="273">
        <v>225</v>
      </c>
      <c r="L816" s="273" t="s">
        <v>2274</v>
      </c>
      <c r="M816" s="273" t="s">
        <v>500</v>
      </c>
    </row>
    <row r="817" spans="2:13" x14ac:dyDescent="0.25">
      <c r="B817" s="273" t="s">
        <v>2276</v>
      </c>
      <c r="C817" s="273" t="s">
        <v>2080</v>
      </c>
      <c r="D817" s="273" t="s">
        <v>2081</v>
      </c>
      <c r="E817" s="273" t="s">
        <v>2218</v>
      </c>
      <c r="F817" s="277" t="s">
        <v>2277</v>
      </c>
      <c r="G817" s="278"/>
      <c r="H817" s="278"/>
      <c r="I817" s="273">
        <v>3</v>
      </c>
      <c r="J817" s="273">
        <v>90</v>
      </c>
      <c r="K817" s="273">
        <v>270</v>
      </c>
      <c r="L817" s="273" t="s">
        <v>2276</v>
      </c>
      <c r="M817" s="273" t="s">
        <v>500</v>
      </c>
    </row>
    <row r="818" spans="2:13" x14ac:dyDescent="0.25">
      <c r="B818" s="273" t="s">
        <v>2278</v>
      </c>
      <c r="C818" s="273" t="s">
        <v>2080</v>
      </c>
      <c r="D818" s="273" t="s">
        <v>2081</v>
      </c>
      <c r="E818" s="273" t="s">
        <v>2082</v>
      </c>
      <c r="F818" s="277" t="s">
        <v>2279</v>
      </c>
      <c r="G818" s="278"/>
      <c r="H818" s="278"/>
      <c r="I818" s="273">
        <v>4</v>
      </c>
      <c r="J818" s="273">
        <v>100</v>
      </c>
      <c r="K818" s="273">
        <v>400</v>
      </c>
      <c r="L818" s="273" t="s">
        <v>2278</v>
      </c>
      <c r="M818" s="273" t="s">
        <v>500</v>
      </c>
    </row>
    <row r="819" spans="2:13" x14ac:dyDescent="0.25">
      <c r="B819" s="273" t="s">
        <v>2280</v>
      </c>
      <c r="C819" s="273" t="s">
        <v>2080</v>
      </c>
      <c r="D819" s="273" t="s">
        <v>2081</v>
      </c>
      <c r="E819" s="273" t="s">
        <v>323</v>
      </c>
      <c r="F819" s="277" t="s">
        <v>2281</v>
      </c>
      <c r="G819" s="278"/>
      <c r="H819" s="278"/>
      <c r="I819" s="273">
        <v>4</v>
      </c>
      <c r="J819" s="273">
        <v>25</v>
      </c>
      <c r="K819" s="273">
        <v>100</v>
      </c>
      <c r="L819" s="273" t="s">
        <v>2280</v>
      </c>
      <c r="M819" s="273" t="s">
        <v>500</v>
      </c>
    </row>
    <row r="820" spans="2:13" x14ac:dyDescent="0.25">
      <c r="B820" s="273" t="s">
        <v>2282</v>
      </c>
      <c r="C820" s="273" t="s">
        <v>2080</v>
      </c>
      <c r="D820" s="273" t="s">
        <v>2081</v>
      </c>
      <c r="E820" s="273" t="s">
        <v>2177</v>
      </c>
      <c r="F820" s="277" t="s">
        <v>2283</v>
      </c>
      <c r="G820" s="278"/>
      <c r="H820" s="278"/>
      <c r="I820" s="273">
        <v>4</v>
      </c>
      <c r="J820" s="273">
        <v>60</v>
      </c>
      <c r="K820" s="273">
        <v>240</v>
      </c>
      <c r="L820" s="273" t="s">
        <v>2282</v>
      </c>
      <c r="M820" s="273" t="s">
        <v>500</v>
      </c>
    </row>
    <row r="821" spans="2:13" x14ac:dyDescent="0.25">
      <c r="B821" s="273" t="s">
        <v>2284</v>
      </c>
      <c r="C821" s="273" t="s">
        <v>2080</v>
      </c>
      <c r="D821" s="273" t="s">
        <v>2081</v>
      </c>
      <c r="E821" s="273" t="s">
        <v>2200</v>
      </c>
      <c r="F821" s="277" t="s">
        <v>2285</v>
      </c>
      <c r="G821" s="278"/>
      <c r="H821" s="278"/>
      <c r="I821" s="273">
        <v>4</v>
      </c>
      <c r="J821" s="273">
        <v>75</v>
      </c>
      <c r="K821" s="273">
        <v>300</v>
      </c>
      <c r="L821" s="273" t="s">
        <v>2284</v>
      </c>
      <c r="M821" s="273" t="s">
        <v>500</v>
      </c>
    </row>
    <row r="822" spans="2:13" x14ac:dyDescent="0.25">
      <c r="B822" s="273" t="s">
        <v>2286</v>
      </c>
      <c r="C822" s="273" t="s">
        <v>2080</v>
      </c>
      <c r="D822" s="273" t="s">
        <v>2081</v>
      </c>
      <c r="E822" s="273" t="s">
        <v>2082</v>
      </c>
      <c r="F822" s="277" t="s">
        <v>2287</v>
      </c>
      <c r="G822" s="278"/>
      <c r="H822" s="278"/>
      <c r="I822" s="273">
        <v>5</v>
      </c>
      <c r="J822" s="273">
        <v>100</v>
      </c>
      <c r="K822" s="273">
        <v>500</v>
      </c>
      <c r="L822" s="273" t="s">
        <v>2286</v>
      </c>
      <c r="M822" s="273" t="s">
        <v>500</v>
      </c>
    </row>
    <row r="823" spans="2:13" x14ac:dyDescent="0.25">
      <c r="B823" s="273" t="s">
        <v>2288</v>
      </c>
      <c r="C823" s="273" t="s">
        <v>2080</v>
      </c>
      <c r="D823" s="273" t="s">
        <v>2081</v>
      </c>
      <c r="E823" s="273" t="s">
        <v>2177</v>
      </c>
      <c r="F823" s="277" t="s">
        <v>2289</v>
      </c>
      <c r="G823" s="278"/>
      <c r="H823" s="278"/>
      <c r="I823" s="273">
        <v>5</v>
      </c>
      <c r="J823" s="273">
        <v>60</v>
      </c>
      <c r="K823" s="273">
        <v>300</v>
      </c>
      <c r="L823" s="273" t="s">
        <v>2288</v>
      </c>
      <c r="M823" s="273" t="s">
        <v>500</v>
      </c>
    </row>
    <row r="824" spans="2:13" x14ac:dyDescent="0.25">
      <c r="B824" s="273" t="s">
        <v>2290</v>
      </c>
      <c r="C824" s="273" t="s">
        <v>2080</v>
      </c>
      <c r="D824" s="273" t="s">
        <v>2291</v>
      </c>
      <c r="E824" s="273" t="s">
        <v>2292</v>
      </c>
      <c r="F824" s="277" t="s">
        <v>2293</v>
      </c>
      <c r="G824" s="278"/>
      <c r="H824" s="278"/>
      <c r="I824" s="273">
        <v>1</v>
      </c>
      <c r="J824" s="273">
        <v>100</v>
      </c>
      <c r="K824" s="273">
        <v>100</v>
      </c>
      <c r="L824" s="273" t="s">
        <v>2290</v>
      </c>
      <c r="M824" s="273" t="s">
        <v>500</v>
      </c>
    </row>
    <row r="825" spans="2:13" x14ac:dyDescent="0.25">
      <c r="B825" s="273" t="s">
        <v>2294</v>
      </c>
      <c r="C825" s="273" t="s">
        <v>2080</v>
      </c>
      <c r="D825" s="273" t="s">
        <v>2291</v>
      </c>
      <c r="E825" s="273" t="s">
        <v>2295</v>
      </c>
      <c r="F825" s="277" t="s">
        <v>2296</v>
      </c>
      <c r="G825" s="278"/>
      <c r="H825" s="278"/>
      <c r="I825" s="273">
        <v>1</v>
      </c>
      <c r="J825" s="273">
        <v>1000</v>
      </c>
      <c r="K825" s="273">
        <v>1000</v>
      </c>
      <c r="L825" s="273" t="s">
        <v>2294</v>
      </c>
      <c r="M825" s="273" t="s">
        <v>500</v>
      </c>
    </row>
    <row r="826" spans="2:13" x14ac:dyDescent="0.25">
      <c r="B826" s="273" t="s">
        <v>2297</v>
      </c>
      <c r="C826" s="273" t="s">
        <v>2080</v>
      </c>
      <c r="D826" s="273" t="s">
        <v>2291</v>
      </c>
      <c r="E826" s="273" t="s">
        <v>2298</v>
      </c>
      <c r="F826" s="277" t="s">
        <v>2299</v>
      </c>
      <c r="G826" s="278"/>
      <c r="H826" s="278"/>
      <c r="I826" s="273">
        <v>1</v>
      </c>
      <c r="J826" s="273">
        <v>1200</v>
      </c>
      <c r="K826" s="273">
        <v>1200</v>
      </c>
      <c r="L826" s="273" t="s">
        <v>2297</v>
      </c>
      <c r="M826" s="273" t="s">
        <v>500</v>
      </c>
    </row>
    <row r="827" spans="2:13" x14ac:dyDescent="0.25">
      <c r="B827" s="273" t="s">
        <v>2300</v>
      </c>
      <c r="C827" s="273" t="s">
        <v>2080</v>
      </c>
      <c r="D827" s="273" t="s">
        <v>2291</v>
      </c>
      <c r="E827" s="273" t="s">
        <v>2301</v>
      </c>
      <c r="F827" s="277" t="s">
        <v>2302</v>
      </c>
      <c r="G827" s="278"/>
      <c r="H827" s="278"/>
      <c r="I827" s="273">
        <v>1</v>
      </c>
      <c r="J827" s="273">
        <v>150</v>
      </c>
      <c r="K827" s="273">
        <v>150</v>
      </c>
      <c r="L827" s="273" t="s">
        <v>2300</v>
      </c>
      <c r="M827" s="273" t="s">
        <v>500</v>
      </c>
    </row>
    <row r="828" spans="2:13" x14ac:dyDescent="0.25">
      <c r="B828" s="273" t="s">
        <v>2303</v>
      </c>
      <c r="C828" s="273" t="s">
        <v>2080</v>
      </c>
      <c r="D828" s="273" t="s">
        <v>2291</v>
      </c>
      <c r="E828" s="273" t="s">
        <v>2304</v>
      </c>
      <c r="F828" s="277" t="s">
        <v>2305</v>
      </c>
      <c r="G828" s="278"/>
      <c r="H828" s="278"/>
      <c r="I828" s="273">
        <v>1</v>
      </c>
      <c r="J828" s="273">
        <v>1500</v>
      </c>
      <c r="K828" s="273">
        <v>1500</v>
      </c>
      <c r="L828" s="273" t="s">
        <v>2303</v>
      </c>
      <c r="M828" s="273" t="s">
        <v>500</v>
      </c>
    </row>
    <row r="829" spans="2:13" x14ac:dyDescent="0.25">
      <c r="B829" s="273" t="s">
        <v>2306</v>
      </c>
      <c r="C829" s="273" t="s">
        <v>2080</v>
      </c>
      <c r="D829" s="273" t="s">
        <v>2291</v>
      </c>
      <c r="E829" s="273" t="s">
        <v>2307</v>
      </c>
      <c r="F829" s="277" t="s">
        <v>2308</v>
      </c>
      <c r="G829" s="278"/>
      <c r="H829" s="278"/>
      <c r="I829" s="273">
        <v>1</v>
      </c>
      <c r="J829" s="273">
        <v>200</v>
      </c>
      <c r="K829" s="273">
        <v>200</v>
      </c>
      <c r="L829" s="273" t="s">
        <v>2306</v>
      </c>
      <c r="M829" s="273" t="s">
        <v>500</v>
      </c>
    </row>
    <row r="830" spans="2:13" x14ac:dyDescent="0.25">
      <c r="B830" s="273" t="s">
        <v>2309</v>
      </c>
      <c r="C830" s="273" t="s">
        <v>2080</v>
      </c>
      <c r="D830" s="273" t="s">
        <v>2291</v>
      </c>
      <c r="E830" s="273" t="s">
        <v>2310</v>
      </c>
      <c r="F830" s="277" t="s">
        <v>2311</v>
      </c>
      <c r="G830" s="278"/>
      <c r="H830" s="278"/>
      <c r="I830" s="273">
        <v>1</v>
      </c>
      <c r="J830" s="273">
        <v>250</v>
      </c>
      <c r="K830" s="273">
        <v>250</v>
      </c>
      <c r="L830" s="273" t="s">
        <v>2309</v>
      </c>
      <c r="M830" s="273" t="s">
        <v>500</v>
      </c>
    </row>
    <row r="831" spans="2:13" x14ac:dyDescent="0.25">
      <c r="B831" s="273" t="s">
        <v>2312</v>
      </c>
      <c r="C831" s="273" t="s">
        <v>2080</v>
      </c>
      <c r="D831" s="273" t="s">
        <v>2291</v>
      </c>
      <c r="E831" s="273" t="s">
        <v>2313</v>
      </c>
      <c r="F831" s="277" t="s">
        <v>2314</v>
      </c>
      <c r="G831" s="278"/>
      <c r="H831" s="278"/>
      <c r="I831" s="273">
        <v>1</v>
      </c>
      <c r="J831" s="273">
        <v>300</v>
      </c>
      <c r="K831" s="273">
        <v>300</v>
      </c>
      <c r="L831" s="273" t="s">
        <v>2312</v>
      </c>
      <c r="M831" s="273" t="s">
        <v>500</v>
      </c>
    </row>
    <row r="832" spans="2:13" x14ac:dyDescent="0.25">
      <c r="B832" s="273" t="s">
        <v>2315</v>
      </c>
      <c r="C832" s="273" t="s">
        <v>2080</v>
      </c>
      <c r="D832" s="273" t="s">
        <v>2291</v>
      </c>
      <c r="E832" s="273" t="s">
        <v>2316</v>
      </c>
      <c r="F832" s="277" t="s">
        <v>2317</v>
      </c>
      <c r="G832" s="278"/>
      <c r="H832" s="278"/>
      <c r="I832" s="273">
        <v>1</v>
      </c>
      <c r="J832" s="273">
        <v>35</v>
      </c>
      <c r="K832" s="273">
        <v>35</v>
      </c>
      <c r="L832" s="273" t="s">
        <v>2315</v>
      </c>
      <c r="M832" s="273" t="s">
        <v>500</v>
      </c>
    </row>
    <row r="833" spans="2:13" x14ac:dyDescent="0.25">
      <c r="B833" s="273" t="s">
        <v>2318</v>
      </c>
      <c r="C833" s="273" t="s">
        <v>2080</v>
      </c>
      <c r="D833" s="273" t="s">
        <v>2291</v>
      </c>
      <c r="E833" s="273" t="s">
        <v>2319</v>
      </c>
      <c r="F833" s="277" t="s">
        <v>2320</v>
      </c>
      <c r="G833" s="278"/>
      <c r="H833" s="278"/>
      <c r="I833" s="273">
        <v>1</v>
      </c>
      <c r="J833" s="273">
        <v>350</v>
      </c>
      <c r="K833" s="273">
        <v>350</v>
      </c>
      <c r="L833" s="273" t="s">
        <v>2318</v>
      </c>
      <c r="M833" s="273" t="s">
        <v>500</v>
      </c>
    </row>
    <row r="834" spans="2:13" x14ac:dyDescent="0.25">
      <c r="B834" s="273" t="s">
        <v>2321</v>
      </c>
      <c r="C834" s="273" t="s">
        <v>2080</v>
      </c>
      <c r="D834" s="273" t="s">
        <v>2291</v>
      </c>
      <c r="E834" s="273" t="s">
        <v>2322</v>
      </c>
      <c r="F834" s="277" t="s">
        <v>2323</v>
      </c>
      <c r="G834" s="278"/>
      <c r="H834" s="278"/>
      <c r="I834" s="273">
        <v>1</v>
      </c>
      <c r="J834" s="273">
        <v>40</v>
      </c>
      <c r="K834" s="273">
        <v>40</v>
      </c>
      <c r="L834" s="273" t="s">
        <v>2321</v>
      </c>
      <c r="M834" s="273" t="s">
        <v>500</v>
      </c>
    </row>
    <row r="835" spans="2:13" x14ac:dyDescent="0.25">
      <c r="B835" s="273" t="s">
        <v>2324</v>
      </c>
      <c r="C835" s="273" t="s">
        <v>2080</v>
      </c>
      <c r="D835" s="273" t="s">
        <v>2291</v>
      </c>
      <c r="E835" s="273" t="s">
        <v>2325</v>
      </c>
      <c r="F835" s="277" t="s">
        <v>2326</v>
      </c>
      <c r="G835" s="278"/>
      <c r="H835" s="278"/>
      <c r="I835" s="273">
        <v>1</v>
      </c>
      <c r="J835" s="273">
        <v>400</v>
      </c>
      <c r="K835" s="273">
        <v>400</v>
      </c>
      <c r="L835" s="273" t="s">
        <v>2324</v>
      </c>
      <c r="M835" s="273" t="s">
        <v>500</v>
      </c>
    </row>
    <row r="836" spans="2:13" x14ac:dyDescent="0.25">
      <c r="B836" s="273" t="s">
        <v>2327</v>
      </c>
      <c r="C836" s="273" t="s">
        <v>2080</v>
      </c>
      <c r="D836" s="273" t="s">
        <v>2291</v>
      </c>
      <c r="E836" s="273" t="s">
        <v>2328</v>
      </c>
      <c r="F836" s="277" t="s">
        <v>2329</v>
      </c>
      <c r="G836" s="278"/>
      <c r="H836" s="278"/>
      <c r="I836" s="273">
        <v>1</v>
      </c>
      <c r="J836" s="273">
        <v>42</v>
      </c>
      <c r="K836" s="273">
        <v>42</v>
      </c>
      <c r="L836" s="273" t="s">
        <v>2327</v>
      </c>
      <c r="M836" s="273" t="s">
        <v>500</v>
      </c>
    </row>
    <row r="837" spans="2:13" x14ac:dyDescent="0.25">
      <c r="B837" s="273" t="s">
        <v>2330</v>
      </c>
      <c r="C837" s="273" t="s">
        <v>2080</v>
      </c>
      <c r="D837" s="273" t="s">
        <v>2291</v>
      </c>
      <c r="E837" s="273" t="s">
        <v>2331</v>
      </c>
      <c r="F837" s="277" t="s">
        <v>2332</v>
      </c>
      <c r="G837" s="278"/>
      <c r="H837" s="278"/>
      <c r="I837" s="273">
        <v>1</v>
      </c>
      <c r="J837" s="273">
        <v>425</v>
      </c>
      <c r="K837" s="273">
        <v>425</v>
      </c>
      <c r="L837" s="273" t="s">
        <v>2330</v>
      </c>
      <c r="M837" s="273" t="s">
        <v>500</v>
      </c>
    </row>
    <row r="838" spans="2:13" x14ac:dyDescent="0.25">
      <c r="B838" s="273" t="s">
        <v>2333</v>
      </c>
      <c r="C838" s="273" t="s">
        <v>2080</v>
      </c>
      <c r="D838" s="273" t="s">
        <v>2291</v>
      </c>
      <c r="E838" s="273" t="s">
        <v>2334</v>
      </c>
      <c r="F838" s="277" t="s">
        <v>2335</v>
      </c>
      <c r="G838" s="278"/>
      <c r="H838" s="278"/>
      <c r="I838" s="273">
        <v>1</v>
      </c>
      <c r="J838" s="273">
        <v>45</v>
      </c>
      <c r="K838" s="273">
        <v>45</v>
      </c>
      <c r="L838" s="273" t="s">
        <v>2333</v>
      </c>
      <c r="M838" s="273" t="s">
        <v>500</v>
      </c>
    </row>
    <row r="839" spans="2:13" x14ac:dyDescent="0.25">
      <c r="B839" s="273" t="s">
        <v>2336</v>
      </c>
      <c r="C839" s="273" t="s">
        <v>2080</v>
      </c>
      <c r="D839" s="273" t="s">
        <v>2291</v>
      </c>
      <c r="E839" s="273" t="s">
        <v>2337</v>
      </c>
      <c r="F839" s="277" t="s">
        <v>2338</v>
      </c>
      <c r="G839" s="278"/>
      <c r="H839" s="278"/>
      <c r="I839" s="273">
        <v>1</v>
      </c>
      <c r="J839" s="273">
        <v>50</v>
      </c>
      <c r="K839" s="273">
        <v>50</v>
      </c>
      <c r="L839" s="273" t="s">
        <v>2336</v>
      </c>
      <c r="M839" s="273" t="s">
        <v>500</v>
      </c>
    </row>
    <row r="840" spans="2:13" x14ac:dyDescent="0.25">
      <c r="B840" s="273" t="s">
        <v>2339</v>
      </c>
      <c r="C840" s="273" t="s">
        <v>2080</v>
      </c>
      <c r="D840" s="273" t="s">
        <v>2291</v>
      </c>
      <c r="E840" s="273" t="s">
        <v>2340</v>
      </c>
      <c r="F840" s="277" t="s">
        <v>2341</v>
      </c>
      <c r="G840" s="278"/>
      <c r="H840" s="278"/>
      <c r="I840" s="273">
        <v>1</v>
      </c>
      <c r="J840" s="273">
        <v>500</v>
      </c>
      <c r="K840" s="273">
        <v>500</v>
      </c>
      <c r="L840" s="273" t="s">
        <v>2339</v>
      </c>
      <c r="M840" s="273" t="s">
        <v>500</v>
      </c>
    </row>
    <row r="841" spans="2:13" x14ac:dyDescent="0.25">
      <c r="B841" s="273" t="s">
        <v>2342</v>
      </c>
      <c r="C841" s="273" t="s">
        <v>2080</v>
      </c>
      <c r="D841" s="273" t="s">
        <v>2291</v>
      </c>
      <c r="E841" s="273" t="s">
        <v>2343</v>
      </c>
      <c r="F841" s="277" t="s">
        <v>2344</v>
      </c>
      <c r="G841" s="278"/>
      <c r="H841" s="278"/>
      <c r="I841" s="273">
        <v>1</v>
      </c>
      <c r="J841" s="273">
        <v>52</v>
      </c>
      <c r="K841" s="273">
        <v>52</v>
      </c>
      <c r="L841" s="273" t="s">
        <v>2342</v>
      </c>
      <c r="M841" s="273" t="s">
        <v>500</v>
      </c>
    </row>
    <row r="842" spans="2:13" x14ac:dyDescent="0.25">
      <c r="B842" s="273" t="s">
        <v>2345</v>
      </c>
      <c r="C842" s="273" t="s">
        <v>2080</v>
      </c>
      <c r="D842" s="273" t="s">
        <v>2291</v>
      </c>
      <c r="E842" s="273" t="s">
        <v>2346</v>
      </c>
      <c r="F842" s="277" t="s">
        <v>2347</v>
      </c>
      <c r="G842" s="278"/>
      <c r="H842" s="278"/>
      <c r="I842" s="273">
        <v>1</v>
      </c>
      <c r="J842" s="273">
        <v>55</v>
      </c>
      <c r="K842" s="273">
        <v>55</v>
      </c>
      <c r="L842" s="273" t="s">
        <v>2345</v>
      </c>
      <c r="M842" s="273" t="s">
        <v>500</v>
      </c>
    </row>
    <row r="843" spans="2:13" x14ac:dyDescent="0.25">
      <c r="B843" s="273" t="s">
        <v>2348</v>
      </c>
      <c r="C843" s="273" t="s">
        <v>2080</v>
      </c>
      <c r="D843" s="273" t="s">
        <v>2291</v>
      </c>
      <c r="E843" s="273" t="s">
        <v>2349</v>
      </c>
      <c r="F843" s="277" t="s">
        <v>2350</v>
      </c>
      <c r="G843" s="278"/>
      <c r="H843" s="278"/>
      <c r="I843" s="273">
        <v>1</v>
      </c>
      <c r="J843" s="273">
        <v>60</v>
      </c>
      <c r="K843" s="273">
        <v>60</v>
      </c>
      <c r="L843" s="273" t="s">
        <v>2348</v>
      </c>
      <c r="M843" s="273" t="s">
        <v>500</v>
      </c>
    </row>
    <row r="844" spans="2:13" x14ac:dyDescent="0.25">
      <c r="B844" s="273" t="s">
        <v>2351</v>
      </c>
      <c r="C844" s="273" t="s">
        <v>2080</v>
      </c>
      <c r="D844" s="273" t="s">
        <v>2291</v>
      </c>
      <c r="E844" s="273" t="s">
        <v>2352</v>
      </c>
      <c r="F844" s="277" t="s">
        <v>2353</v>
      </c>
      <c r="G844" s="278"/>
      <c r="H844" s="278"/>
      <c r="I844" s="273">
        <v>1</v>
      </c>
      <c r="J844" s="273">
        <v>72</v>
      </c>
      <c r="K844" s="273">
        <v>72</v>
      </c>
      <c r="L844" s="273" t="s">
        <v>2351</v>
      </c>
      <c r="M844" s="273" t="s">
        <v>500</v>
      </c>
    </row>
    <row r="845" spans="2:13" x14ac:dyDescent="0.25">
      <c r="B845" s="273" t="s">
        <v>2354</v>
      </c>
      <c r="C845" s="273" t="s">
        <v>2080</v>
      </c>
      <c r="D845" s="273" t="s">
        <v>2291</v>
      </c>
      <c r="E845" s="273" t="s">
        <v>2355</v>
      </c>
      <c r="F845" s="277" t="s">
        <v>2356</v>
      </c>
      <c r="G845" s="278"/>
      <c r="H845" s="278"/>
      <c r="I845" s="273">
        <v>1</v>
      </c>
      <c r="J845" s="273">
        <v>75</v>
      </c>
      <c r="K845" s="273">
        <v>75</v>
      </c>
      <c r="L845" s="273" t="s">
        <v>2354</v>
      </c>
      <c r="M845" s="273" t="s">
        <v>500</v>
      </c>
    </row>
    <row r="846" spans="2:13" x14ac:dyDescent="0.25">
      <c r="B846" s="273" t="s">
        <v>2357</v>
      </c>
      <c r="C846" s="273" t="s">
        <v>2080</v>
      </c>
      <c r="D846" s="273" t="s">
        <v>2291</v>
      </c>
      <c r="E846" s="273" t="s">
        <v>2358</v>
      </c>
      <c r="F846" s="277" t="s">
        <v>2359</v>
      </c>
      <c r="G846" s="278"/>
      <c r="H846" s="278"/>
      <c r="I846" s="273">
        <v>1</v>
      </c>
      <c r="J846" s="273">
        <v>750</v>
      </c>
      <c r="K846" s="273">
        <v>750</v>
      </c>
      <c r="L846" s="273" t="s">
        <v>2357</v>
      </c>
      <c r="M846" s="273" t="s">
        <v>500</v>
      </c>
    </row>
    <row r="847" spans="2:13" x14ac:dyDescent="0.25">
      <c r="B847" s="273" t="s">
        <v>2360</v>
      </c>
      <c r="C847" s="273" t="s">
        <v>2080</v>
      </c>
      <c r="D847" s="273" t="s">
        <v>2291</v>
      </c>
      <c r="E847" s="273" t="s">
        <v>2361</v>
      </c>
      <c r="F847" s="277" t="s">
        <v>2362</v>
      </c>
      <c r="G847" s="278"/>
      <c r="H847" s="278"/>
      <c r="I847" s="273">
        <v>1</v>
      </c>
      <c r="J847" s="273">
        <v>90</v>
      </c>
      <c r="K847" s="273">
        <v>90</v>
      </c>
      <c r="L847" s="273" t="s">
        <v>2360</v>
      </c>
      <c r="M847" s="273" t="s">
        <v>500</v>
      </c>
    </row>
    <row r="848" spans="2:13" x14ac:dyDescent="0.25">
      <c r="B848" s="273" t="s">
        <v>2363</v>
      </c>
      <c r="C848" s="273" t="s">
        <v>2080</v>
      </c>
      <c r="D848" s="273" t="s">
        <v>2291</v>
      </c>
      <c r="E848" s="273" t="s">
        <v>2364</v>
      </c>
      <c r="F848" s="277" t="s">
        <v>2365</v>
      </c>
      <c r="G848" s="278"/>
      <c r="H848" s="278"/>
      <c r="I848" s="273">
        <v>1</v>
      </c>
      <c r="J848" s="273">
        <v>900</v>
      </c>
      <c r="K848" s="273">
        <v>900</v>
      </c>
      <c r="L848" s="273" t="s">
        <v>2363</v>
      </c>
      <c r="M848" s="273" t="s">
        <v>500</v>
      </c>
    </row>
    <row r="849" spans="2:13" x14ac:dyDescent="0.25">
      <c r="B849" s="273" t="s">
        <v>2366</v>
      </c>
      <c r="C849" s="273" t="s">
        <v>2080</v>
      </c>
      <c r="D849" s="273" t="s">
        <v>2291</v>
      </c>
      <c r="E849" s="273" t="s">
        <v>2367</v>
      </c>
      <c r="F849" s="277" t="s">
        <v>2368</v>
      </c>
      <c r="G849" s="278"/>
      <c r="H849" s="278"/>
      <c r="I849" s="273">
        <v>1</v>
      </c>
      <c r="J849" s="273">
        <v>20</v>
      </c>
      <c r="K849" s="273">
        <v>30</v>
      </c>
      <c r="L849" s="273" t="s">
        <v>2366</v>
      </c>
      <c r="M849" s="273" t="s">
        <v>500</v>
      </c>
    </row>
    <row r="850" spans="2:13" x14ac:dyDescent="0.25">
      <c r="B850" s="273" t="s">
        <v>2369</v>
      </c>
      <c r="C850" s="273" t="s">
        <v>2080</v>
      </c>
      <c r="D850" s="273" t="s">
        <v>2291</v>
      </c>
      <c r="E850" s="273" t="s">
        <v>2370</v>
      </c>
      <c r="F850" s="277" t="s">
        <v>2371</v>
      </c>
      <c r="G850" s="278"/>
      <c r="H850" s="278"/>
      <c r="I850" s="273">
        <v>1</v>
      </c>
      <c r="J850" s="273">
        <v>25</v>
      </c>
      <c r="K850" s="273">
        <v>35</v>
      </c>
      <c r="L850" s="273" t="s">
        <v>2369</v>
      </c>
      <c r="M850" s="273" t="s">
        <v>500</v>
      </c>
    </row>
    <row r="851" spans="2:13" x14ac:dyDescent="0.25">
      <c r="B851" s="273" t="s">
        <v>2372</v>
      </c>
      <c r="C851" s="273" t="s">
        <v>2080</v>
      </c>
      <c r="D851" s="273" t="s">
        <v>2291</v>
      </c>
      <c r="E851" s="273" t="s">
        <v>2373</v>
      </c>
      <c r="F851" s="277" t="s">
        <v>2374</v>
      </c>
      <c r="G851" s="278"/>
      <c r="H851" s="278"/>
      <c r="I851" s="273">
        <v>1</v>
      </c>
      <c r="J851" s="273">
        <v>35</v>
      </c>
      <c r="K851" s="273">
        <v>45</v>
      </c>
      <c r="L851" s="273" t="s">
        <v>2372</v>
      </c>
      <c r="M851" s="273" t="s">
        <v>500</v>
      </c>
    </row>
    <row r="852" spans="2:13" x14ac:dyDescent="0.25">
      <c r="B852" s="273" t="s">
        <v>2375</v>
      </c>
      <c r="C852" s="273" t="s">
        <v>2080</v>
      </c>
      <c r="D852" s="273" t="s">
        <v>2291</v>
      </c>
      <c r="E852" s="273" t="s">
        <v>2376</v>
      </c>
      <c r="F852" s="277" t="s">
        <v>2377</v>
      </c>
      <c r="G852" s="278"/>
      <c r="H852" s="278"/>
      <c r="I852" s="273">
        <v>1</v>
      </c>
      <c r="J852" s="273">
        <v>42</v>
      </c>
      <c r="K852" s="273">
        <v>52</v>
      </c>
      <c r="L852" s="273" t="s">
        <v>2375</v>
      </c>
      <c r="M852" s="273" t="s">
        <v>500</v>
      </c>
    </row>
    <row r="853" spans="2:13" x14ac:dyDescent="0.25">
      <c r="B853" s="273" t="s">
        <v>2378</v>
      </c>
      <c r="C853" s="273" t="s">
        <v>2080</v>
      </c>
      <c r="D853" s="273" t="s">
        <v>2291</v>
      </c>
      <c r="E853" s="273" t="s">
        <v>2379</v>
      </c>
      <c r="F853" s="277" t="s">
        <v>2380</v>
      </c>
      <c r="G853" s="278"/>
      <c r="H853" s="278"/>
      <c r="I853" s="273">
        <v>1</v>
      </c>
      <c r="J853" s="273">
        <v>50</v>
      </c>
      <c r="K853" s="273">
        <v>60</v>
      </c>
      <c r="L853" s="273" t="s">
        <v>2378</v>
      </c>
      <c r="M853" s="273" t="s">
        <v>500</v>
      </c>
    </row>
    <row r="854" spans="2:13" x14ac:dyDescent="0.25">
      <c r="B854" s="273" t="s">
        <v>2381</v>
      </c>
      <c r="C854" s="273" t="s">
        <v>2080</v>
      </c>
      <c r="D854" s="273" t="s">
        <v>2291</v>
      </c>
      <c r="E854" s="273" t="s">
        <v>2382</v>
      </c>
      <c r="F854" s="277" t="s">
        <v>2383</v>
      </c>
      <c r="G854" s="278"/>
      <c r="H854" s="278"/>
      <c r="I854" s="273">
        <v>1</v>
      </c>
      <c r="J854" s="273">
        <v>65</v>
      </c>
      <c r="K854" s="273">
        <v>75</v>
      </c>
      <c r="L854" s="273" t="s">
        <v>2381</v>
      </c>
      <c r="M854" s="273" t="s">
        <v>500</v>
      </c>
    </row>
    <row r="855" spans="2:13" x14ac:dyDescent="0.25">
      <c r="B855" s="273" t="s">
        <v>2384</v>
      </c>
      <c r="C855" s="273" t="s">
        <v>2080</v>
      </c>
      <c r="D855" s="273" t="s">
        <v>2291</v>
      </c>
      <c r="E855" s="273" t="s">
        <v>2385</v>
      </c>
      <c r="F855" s="277" t="s">
        <v>2386</v>
      </c>
      <c r="G855" s="278"/>
      <c r="H855" s="278"/>
      <c r="I855" s="273">
        <v>1</v>
      </c>
      <c r="J855" s="273">
        <v>75</v>
      </c>
      <c r="K855" s="273">
        <v>85</v>
      </c>
      <c r="L855" s="273" t="s">
        <v>2384</v>
      </c>
      <c r="M855" s="273" t="s">
        <v>500</v>
      </c>
    </row>
    <row r="856" spans="2:13" x14ac:dyDescent="0.25">
      <c r="B856" s="273" t="s">
        <v>2387</v>
      </c>
      <c r="C856" s="273" t="s">
        <v>2080</v>
      </c>
      <c r="D856" s="273" t="s">
        <v>2291</v>
      </c>
      <c r="E856" s="273" t="s">
        <v>2301</v>
      </c>
      <c r="F856" s="277" t="s">
        <v>2388</v>
      </c>
      <c r="G856" s="278"/>
      <c r="H856" s="278"/>
      <c r="I856" s="273">
        <v>2</v>
      </c>
      <c r="J856" s="273">
        <v>150</v>
      </c>
      <c r="K856" s="273">
        <v>300</v>
      </c>
      <c r="L856" s="273" t="s">
        <v>2387</v>
      </c>
      <c r="M856" s="273" t="s">
        <v>500</v>
      </c>
    </row>
    <row r="857" spans="2:13" x14ac:dyDescent="0.25">
      <c r="B857" s="273" t="s">
        <v>2389</v>
      </c>
      <c r="C857" s="273" t="s">
        <v>2080</v>
      </c>
      <c r="D857" s="273" t="s">
        <v>2291</v>
      </c>
      <c r="E857" s="273" t="s">
        <v>2334</v>
      </c>
      <c r="F857" s="277" t="s">
        <v>2390</v>
      </c>
      <c r="G857" s="278"/>
      <c r="H857" s="278"/>
      <c r="I857" s="273">
        <v>2</v>
      </c>
      <c r="J857" s="273">
        <v>45</v>
      </c>
      <c r="K857" s="273">
        <v>90</v>
      </c>
      <c r="L857" s="273" t="s">
        <v>2389</v>
      </c>
      <c r="M857" s="273" t="s">
        <v>500</v>
      </c>
    </row>
    <row r="858" spans="2:13" x14ac:dyDescent="0.25">
      <c r="B858" s="273" t="s">
        <v>2391</v>
      </c>
      <c r="C858" s="273" t="s">
        <v>2080</v>
      </c>
      <c r="D858" s="273" t="s">
        <v>2291</v>
      </c>
      <c r="E858" s="273" t="s">
        <v>2337</v>
      </c>
      <c r="F858" s="277" t="s">
        <v>2392</v>
      </c>
      <c r="G858" s="278"/>
      <c r="H858" s="278"/>
      <c r="I858" s="273">
        <v>2</v>
      </c>
      <c r="J858" s="273">
        <v>50</v>
      </c>
      <c r="K858" s="273">
        <v>100</v>
      </c>
      <c r="L858" s="273" t="s">
        <v>2391</v>
      </c>
      <c r="M858" s="273" t="s">
        <v>500</v>
      </c>
    </row>
    <row r="859" spans="2:13" x14ac:dyDescent="0.25">
      <c r="B859" s="273" t="s">
        <v>2393</v>
      </c>
      <c r="C859" s="273" t="s">
        <v>2080</v>
      </c>
      <c r="D859" s="273" t="s">
        <v>2291</v>
      </c>
      <c r="E859" s="273" t="s">
        <v>2346</v>
      </c>
      <c r="F859" s="277" t="s">
        <v>2394</v>
      </c>
      <c r="G859" s="278"/>
      <c r="H859" s="278"/>
      <c r="I859" s="273">
        <v>2</v>
      </c>
      <c r="J859" s="273">
        <v>55</v>
      </c>
      <c r="K859" s="273">
        <v>110</v>
      </c>
      <c r="L859" s="273" t="s">
        <v>2393</v>
      </c>
      <c r="M859" s="273" t="s">
        <v>500</v>
      </c>
    </row>
    <row r="860" spans="2:13" x14ac:dyDescent="0.25">
      <c r="B860" s="273" t="s">
        <v>2395</v>
      </c>
      <c r="C860" s="273" t="s">
        <v>2080</v>
      </c>
      <c r="D860" s="273" t="s">
        <v>2291</v>
      </c>
      <c r="E860" s="273" t="s">
        <v>2355</v>
      </c>
      <c r="F860" s="277" t="s">
        <v>2396</v>
      </c>
      <c r="G860" s="278"/>
      <c r="H860" s="278"/>
      <c r="I860" s="273">
        <v>2</v>
      </c>
      <c r="J860" s="273">
        <v>75</v>
      </c>
      <c r="K860" s="273">
        <v>150</v>
      </c>
      <c r="L860" s="273" t="s">
        <v>2395</v>
      </c>
      <c r="M860" s="273" t="s">
        <v>500</v>
      </c>
    </row>
    <row r="861" spans="2:13" x14ac:dyDescent="0.25">
      <c r="B861" s="273" t="s">
        <v>2397</v>
      </c>
      <c r="C861" s="273" t="s">
        <v>2080</v>
      </c>
      <c r="D861" s="273" t="s">
        <v>2291</v>
      </c>
      <c r="E861" s="273" t="s">
        <v>2361</v>
      </c>
      <c r="F861" s="277" t="s">
        <v>2398</v>
      </c>
      <c r="G861" s="278"/>
      <c r="H861" s="278"/>
      <c r="I861" s="273">
        <v>2</v>
      </c>
      <c r="J861" s="273">
        <v>90</v>
      </c>
      <c r="K861" s="273">
        <v>180</v>
      </c>
      <c r="L861" s="273" t="s">
        <v>2397</v>
      </c>
      <c r="M861" s="273" t="s">
        <v>500</v>
      </c>
    </row>
    <row r="862" spans="2:13" x14ac:dyDescent="0.25">
      <c r="B862" s="273" t="s">
        <v>2399</v>
      </c>
      <c r="C862" s="273" t="s">
        <v>2400</v>
      </c>
      <c r="D862" s="273" t="s">
        <v>2400</v>
      </c>
      <c r="E862" s="273" t="s">
        <v>2401</v>
      </c>
      <c r="F862" s="277" t="s">
        <v>2402</v>
      </c>
      <c r="G862" s="278" t="s">
        <v>2403</v>
      </c>
      <c r="H862" s="278"/>
      <c r="I862" s="273">
        <v>1</v>
      </c>
      <c r="J862" s="273">
        <v>55</v>
      </c>
      <c r="K862" s="273">
        <v>55</v>
      </c>
      <c r="L862" s="273" t="s">
        <v>2399</v>
      </c>
      <c r="M862" s="273" t="s">
        <v>500</v>
      </c>
    </row>
    <row r="863" spans="2:13" x14ac:dyDescent="0.25">
      <c r="B863" s="273" t="s">
        <v>2404</v>
      </c>
      <c r="C863" s="273" t="s">
        <v>2400</v>
      </c>
      <c r="D863" s="273" t="s">
        <v>2400</v>
      </c>
      <c r="E863" s="273" t="s">
        <v>2405</v>
      </c>
      <c r="F863" s="277" t="s">
        <v>2406</v>
      </c>
      <c r="G863" s="278" t="s">
        <v>2403</v>
      </c>
      <c r="H863" s="278"/>
      <c r="I863" s="273">
        <v>1</v>
      </c>
      <c r="J863" s="273">
        <v>85</v>
      </c>
      <c r="K863" s="273">
        <v>85</v>
      </c>
      <c r="L863" s="273" t="s">
        <v>2404</v>
      </c>
      <c r="M863" s="273" t="s">
        <v>500</v>
      </c>
    </row>
    <row r="864" spans="2:13" x14ac:dyDescent="0.25">
      <c r="B864" s="273" t="s">
        <v>2407</v>
      </c>
      <c r="C864" s="273" t="s">
        <v>2400</v>
      </c>
      <c r="D864" s="273" t="s">
        <v>2400</v>
      </c>
      <c r="E864" s="273" t="s">
        <v>2408</v>
      </c>
      <c r="F864" s="277" t="s">
        <v>2409</v>
      </c>
      <c r="G864" s="278" t="s">
        <v>2403</v>
      </c>
      <c r="H864" s="278"/>
      <c r="I864" s="273">
        <v>1</v>
      </c>
      <c r="J864" s="273">
        <v>165</v>
      </c>
      <c r="K864" s="273">
        <v>165</v>
      </c>
      <c r="L864" s="273" t="s">
        <v>2407</v>
      </c>
      <c r="M864" s="273" t="s">
        <v>500</v>
      </c>
    </row>
    <row r="865" spans="2:13" x14ac:dyDescent="0.25">
      <c r="B865" s="273" t="s">
        <v>2410</v>
      </c>
      <c r="C865" s="273" t="s">
        <v>2411</v>
      </c>
      <c r="D865" s="273" t="s">
        <v>2412</v>
      </c>
      <c r="E865" s="273" t="s">
        <v>2413</v>
      </c>
      <c r="F865" s="277" t="s">
        <v>2414</v>
      </c>
      <c r="G865" s="278" t="s">
        <v>2415</v>
      </c>
      <c r="H865" s="278"/>
      <c r="I865" s="273">
        <v>1</v>
      </c>
      <c r="J865" s="273">
        <v>100</v>
      </c>
      <c r="K865" s="273">
        <v>128</v>
      </c>
      <c r="L865" s="273" t="s">
        <v>2410</v>
      </c>
      <c r="M865" s="273" t="s">
        <v>501</v>
      </c>
    </row>
    <row r="866" spans="2:13" x14ac:dyDescent="0.25">
      <c r="B866" s="273" t="s">
        <v>2416</v>
      </c>
      <c r="C866" s="273" t="s">
        <v>2411</v>
      </c>
      <c r="D866" s="273" t="s">
        <v>2412</v>
      </c>
      <c r="E866" s="273" t="s">
        <v>2417</v>
      </c>
      <c r="F866" s="277" t="s">
        <v>2418</v>
      </c>
      <c r="G866" s="278" t="s">
        <v>2415</v>
      </c>
      <c r="H866" s="278"/>
      <c r="I866" s="273">
        <v>1</v>
      </c>
      <c r="J866" s="273">
        <v>1000</v>
      </c>
      <c r="K866" s="273">
        <v>1080</v>
      </c>
      <c r="L866" s="273" t="s">
        <v>2416</v>
      </c>
      <c r="M866" s="273" t="s">
        <v>501</v>
      </c>
    </row>
    <row r="867" spans="2:13" x14ac:dyDescent="0.25">
      <c r="B867" s="273" t="s">
        <v>2419</v>
      </c>
      <c r="C867" s="273" t="s">
        <v>2411</v>
      </c>
      <c r="D867" s="273" t="s">
        <v>2412</v>
      </c>
      <c r="E867" s="273" t="s">
        <v>2420</v>
      </c>
      <c r="F867" s="277" t="s">
        <v>2421</v>
      </c>
      <c r="G867" s="278" t="s">
        <v>2415</v>
      </c>
      <c r="H867" s="278"/>
      <c r="I867" s="273">
        <v>1</v>
      </c>
      <c r="J867" s="273">
        <v>150</v>
      </c>
      <c r="K867" s="273">
        <v>190</v>
      </c>
      <c r="L867" s="273" t="s">
        <v>2419</v>
      </c>
      <c r="M867" s="273" t="s">
        <v>501</v>
      </c>
    </row>
    <row r="868" spans="2:13" x14ac:dyDescent="0.25">
      <c r="B868" s="273" t="s">
        <v>2422</v>
      </c>
      <c r="C868" s="273" t="s">
        <v>2411</v>
      </c>
      <c r="D868" s="273" t="s">
        <v>2412</v>
      </c>
      <c r="E868" s="273" t="s">
        <v>2423</v>
      </c>
      <c r="F868" s="277" t="s">
        <v>2424</v>
      </c>
      <c r="G868" s="278" t="s">
        <v>2415</v>
      </c>
      <c r="H868" s="278"/>
      <c r="I868" s="273">
        <v>1</v>
      </c>
      <c r="J868" s="273">
        <v>1500</v>
      </c>
      <c r="K868" s="273">
        <v>1610</v>
      </c>
      <c r="L868" s="273" t="s">
        <v>2422</v>
      </c>
      <c r="M868" s="273" t="s">
        <v>501</v>
      </c>
    </row>
    <row r="869" spans="2:13" x14ac:dyDescent="0.25">
      <c r="B869" s="273" t="s">
        <v>2425</v>
      </c>
      <c r="C869" s="273" t="s">
        <v>2411</v>
      </c>
      <c r="D869" s="273" t="s">
        <v>2412</v>
      </c>
      <c r="E869" s="273" t="s">
        <v>2426</v>
      </c>
      <c r="F869" s="277" t="s">
        <v>2427</v>
      </c>
      <c r="G869" s="278" t="s">
        <v>2415</v>
      </c>
      <c r="H869" s="278"/>
      <c r="I869" s="273">
        <v>1</v>
      </c>
      <c r="J869" s="273">
        <v>175</v>
      </c>
      <c r="K869" s="273">
        <v>215</v>
      </c>
      <c r="L869" s="273" t="s">
        <v>2425</v>
      </c>
      <c r="M869" s="273" t="s">
        <v>501</v>
      </c>
    </row>
    <row r="870" spans="2:13" x14ac:dyDescent="0.25">
      <c r="B870" s="273" t="s">
        <v>2428</v>
      </c>
      <c r="C870" s="273" t="s">
        <v>2411</v>
      </c>
      <c r="D870" s="273" t="s">
        <v>2412</v>
      </c>
      <c r="E870" s="273" t="s">
        <v>2429</v>
      </c>
      <c r="F870" s="277" t="s">
        <v>2430</v>
      </c>
      <c r="G870" s="278" t="s">
        <v>2415</v>
      </c>
      <c r="H870" s="278"/>
      <c r="I870" s="273">
        <v>1</v>
      </c>
      <c r="J870" s="273">
        <v>1800</v>
      </c>
      <c r="K870" s="273">
        <v>1875</v>
      </c>
      <c r="L870" s="273" t="s">
        <v>2428</v>
      </c>
      <c r="M870" s="273" t="s">
        <v>501</v>
      </c>
    </row>
    <row r="871" spans="2:13" x14ac:dyDescent="0.25">
      <c r="B871" s="273" t="s">
        <v>2431</v>
      </c>
      <c r="C871" s="273" t="s">
        <v>2411</v>
      </c>
      <c r="D871" s="273" t="s">
        <v>2412</v>
      </c>
      <c r="E871" s="273" t="s">
        <v>2432</v>
      </c>
      <c r="F871" s="277" t="s">
        <v>2433</v>
      </c>
      <c r="G871" s="278" t="s">
        <v>2415</v>
      </c>
      <c r="H871" s="278"/>
      <c r="I871" s="273">
        <v>1</v>
      </c>
      <c r="J871" s="273">
        <v>200</v>
      </c>
      <c r="K871" s="273">
        <v>232</v>
      </c>
      <c r="L871" s="273" t="s">
        <v>2431</v>
      </c>
      <c r="M871" s="273" t="s">
        <v>501</v>
      </c>
    </row>
    <row r="872" spans="2:13" x14ac:dyDescent="0.25">
      <c r="B872" s="273" t="s">
        <v>2434</v>
      </c>
      <c r="C872" s="273" t="s">
        <v>2411</v>
      </c>
      <c r="D872" s="273" t="s">
        <v>2412</v>
      </c>
      <c r="E872" s="273" t="s">
        <v>2435</v>
      </c>
      <c r="F872" s="277" t="s">
        <v>2436</v>
      </c>
      <c r="G872" s="278" t="s">
        <v>2415</v>
      </c>
      <c r="H872" s="278"/>
      <c r="I872" s="273">
        <v>1</v>
      </c>
      <c r="J872" s="273">
        <v>250</v>
      </c>
      <c r="K872" s="273">
        <v>295</v>
      </c>
      <c r="L872" s="273" t="s">
        <v>2434</v>
      </c>
      <c r="M872" s="273" t="s">
        <v>501</v>
      </c>
    </row>
    <row r="873" spans="2:13" x14ac:dyDescent="0.25">
      <c r="B873" s="273" t="s">
        <v>2437</v>
      </c>
      <c r="C873" s="273" t="s">
        <v>2411</v>
      </c>
      <c r="D873" s="273" t="s">
        <v>2412</v>
      </c>
      <c r="E873" s="273" t="s">
        <v>2438</v>
      </c>
      <c r="F873" s="277" t="s">
        <v>2439</v>
      </c>
      <c r="G873" s="278" t="s">
        <v>2415</v>
      </c>
      <c r="H873" s="278"/>
      <c r="I873" s="273">
        <v>1</v>
      </c>
      <c r="J873" s="273">
        <v>32</v>
      </c>
      <c r="K873" s="273">
        <v>43</v>
      </c>
      <c r="L873" s="273" t="s">
        <v>2437</v>
      </c>
      <c r="M873" s="273" t="s">
        <v>501</v>
      </c>
    </row>
    <row r="874" spans="2:13" x14ac:dyDescent="0.25">
      <c r="B874" s="273" t="s">
        <v>2440</v>
      </c>
      <c r="C874" s="273" t="s">
        <v>2411</v>
      </c>
      <c r="D874" s="273" t="s">
        <v>2412</v>
      </c>
      <c r="E874" s="273" t="s">
        <v>2441</v>
      </c>
      <c r="F874" s="277" t="s">
        <v>2442</v>
      </c>
      <c r="G874" s="278" t="s">
        <v>2415</v>
      </c>
      <c r="H874" s="278"/>
      <c r="I874" s="273">
        <v>1</v>
      </c>
      <c r="J874" s="273">
        <v>300</v>
      </c>
      <c r="K874" s="273">
        <v>342</v>
      </c>
      <c r="L874" s="273" t="s">
        <v>2440</v>
      </c>
      <c r="M874" s="273" t="s">
        <v>501</v>
      </c>
    </row>
    <row r="875" spans="2:13" x14ac:dyDescent="0.25">
      <c r="B875" s="273" t="s">
        <v>2443</v>
      </c>
      <c r="C875" s="273" t="s">
        <v>2411</v>
      </c>
      <c r="D875" s="273" t="s">
        <v>2412</v>
      </c>
      <c r="E875" s="273" t="s">
        <v>2444</v>
      </c>
      <c r="F875" s="277" t="s">
        <v>2445</v>
      </c>
      <c r="G875" s="278" t="s">
        <v>2415</v>
      </c>
      <c r="H875" s="278"/>
      <c r="I875" s="273">
        <v>1</v>
      </c>
      <c r="J875" s="273">
        <v>320</v>
      </c>
      <c r="K875" s="273">
        <v>365</v>
      </c>
      <c r="L875" s="273" t="s">
        <v>2443</v>
      </c>
      <c r="M875" s="273" t="s">
        <v>501</v>
      </c>
    </row>
    <row r="876" spans="2:13" x14ac:dyDescent="0.25">
      <c r="B876" s="273" t="s">
        <v>2446</v>
      </c>
      <c r="C876" s="273" t="s">
        <v>2411</v>
      </c>
      <c r="D876" s="273" t="s">
        <v>2412</v>
      </c>
      <c r="E876" s="273" t="s">
        <v>2447</v>
      </c>
      <c r="F876" s="277" t="s">
        <v>2448</v>
      </c>
      <c r="G876" s="278" t="s">
        <v>2415</v>
      </c>
      <c r="H876" s="278"/>
      <c r="I876" s="273">
        <v>1</v>
      </c>
      <c r="J876" s="273">
        <v>350</v>
      </c>
      <c r="K876" s="273">
        <v>400</v>
      </c>
      <c r="L876" s="273" t="s">
        <v>2446</v>
      </c>
      <c r="M876" s="273" t="s">
        <v>501</v>
      </c>
    </row>
    <row r="877" spans="2:13" x14ac:dyDescent="0.25">
      <c r="B877" s="273" t="s">
        <v>2449</v>
      </c>
      <c r="C877" s="273" t="s">
        <v>2411</v>
      </c>
      <c r="D877" s="273" t="s">
        <v>2412</v>
      </c>
      <c r="E877" s="273" t="s">
        <v>2450</v>
      </c>
      <c r="F877" s="277" t="s">
        <v>2451</v>
      </c>
      <c r="G877" s="278" t="s">
        <v>2415</v>
      </c>
      <c r="H877" s="278"/>
      <c r="I877" s="273">
        <v>1</v>
      </c>
      <c r="J877" s="273">
        <v>360</v>
      </c>
      <c r="K877" s="273">
        <v>430</v>
      </c>
      <c r="L877" s="273" t="s">
        <v>2449</v>
      </c>
      <c r="M877" s="273" t="s">
        <v>501</v>
      </c>
    </row>
    <row r="878" spans="2:13" x14ac:dyDescent="0.25">
      <c r="B878" s="273" t="s">
        <v>2452</v>
      </c>
      <c r="C878" s="273" t="s">
        <v>2411</v>
      </c>
      <c r="D878" s="273" t="s">
        <v>2412</v>
      </c>
      <c r="E878" s="273" t="s">
        <v>2453</v>
      </c>
      <c r="F878" s="277" t="s">
        <v>2454</v>
      </c>
      <c r="G878" s="278" t="s">
        <v>2415</v>
      </c>
      <c r="H878" s="278"/>
      <c r="I878" s="273">
        <v>1</v>
      </c>
      <c r="J878" s="273">
        <v>400</v>
      </c>
      <c r="K878" s="273">
        <v>458</v>
      </c>
      <c r="L878" s="273" t="s">
        <v>2452</v>
      </c>
      <c r="M878" s="273" t="s">
        <v>501</v>
      </c>
    </row>
    <row r="879" spans="2:13" x14ac:dyDescent="0.25">
      <c r="B879" s="273" t="s">
        <v>2455</v>
      </c>
      <c r="C879" s="273" t="s">
        <v>2411</v>
      </c>
      <c r="D879" s="273" t="s">
        <v>2412</v>
      </c>
      <c r="E879" s="273" t="s">
        <v>2456</v>
      </c>
      <c r="F879" s="277" t="s">
        <v>2457</v>
      </c>
      <c r="G879" s="278" t="s">
        <v>2415</v>
      </c>
      <c r="H879" s="278"/>
      <c r="I879" s="273">
        <v>1</v>
      </c>
      <c r="J879" s="273">
        <v>450</v>
      </c>
      <c r="K879" s="273">
        <v>508</v>
      </c>
      <c r="L879" s="273" t="s">
        <v>2455</v>
      </c>
      <c r="M879" s="273" t="s">
        <v>501</v>
      </c>
    </row>
    <row r="880" spans="2:13" x14ac:dyDescent="0.25">
      <c r="B880" s="273" t="s">
        <v>2458</v>
      </c>
      <c r="C880" s="273" t="s">
        <v>2411</v>
      </c>
      <c r="D880" s="273" t="s">
        <v>2412</v>
      </c>
      <c r="E880" s="273" t="s">
        <v>2459</v>
      </c>
      <c r="F880" s="277" t="s">
        <v>2460</v>
      </c>
      <c r="G880" s="278" t="s">
        <v>2415</v>
      </c>
      <c r="H880" s="278"/>
      <c r="I880" s="273">
        <v>1</v>
      </c>
      <c r="J880" s="273">
        <v>35</v>
      </c>
      <c r="K880" s="273">
        <v>44</v>
      </c>
      <c r="L880" s="273" t="s">
        <v>2458</v>
      </c>
      <c r="M880" s="273" t="s">
        <v>501</v>
      </c>
    </row>
    <row r="881" spans="2:13" x14ac:dyDescent="0.25">
      <c r="B881" s="273" t="s">
        <v>2461</v>
      </c>
      <c r="C881" s="273" t="s">
        <v>2411</v>
      </c>
      <c r="D881" s="273" t="s">
        <v>2412</v>
      </c>
      <c r="E881" s="273" t="s">
        <v>2462</v>
      </c>
      <c r="F881" s="277" t="s">
        <v>2463</v>
      </c>
      <c r="G881" s="278" t="s">
        <v>2415</v>
      </c>
      <c r="H881" s="278"/>
      <c r="I881" s="273">
        <v>1</v>
      </c>
      <c r="J881" s="273">
        <v>50</v>
      </c>
      <c r="K881" s="273">
        <v>72</v>
      </c>
      <c r="L881" s="273" t="s">
        <v>2461</v>
      </c>
      <c r="M881" s="273" t="s">
        <v>501</v>
      </c>
    </row>
    <row r="882" spans="2:13" x14ac:dyDescent="0.25">
      <c r="B882" s="273" t="s">
        <v>2464</v>
      </c>
      <c r="C882" s="273" t="s">
        <v>2411</v>
      </c>
      <c r="D882" s="273" t="s">
        <v>2412</v>
      </c>
      <c r="E882" s="273" t="s">
        <v>2465</v>
      </c>
      <c r="F882" s="277" t="s">
        <v>2466</v>
      </c>
      <c r="G882" s="278" t="s">
        <v>2415</v>
      </c>
      <c r="H882" s="278"/>
      <c r="I882" s="273">
        <v>1</v>
      </c>
      <c r="J882" s="273">
        <v>70</v>
      </c>
      <c r="K882" s="273">
        <v>95</v>
      </c>
      <c r="L882" s="273" t="s">
        <v>2464</v>
      </c>
      <c r="M882" s="273" t="s">
        <v>501</v>
      </c>
    </row>
    <row r="883" spans="2:13" x14ac:dyDescent="0.25">
      <c r="B883" s="273" t="s">
        <v>2467</v>
      </c>
      <c r="C883" s="273" t="s">
        <v>2411</v>
      </c>
      <c r="D883" s="273" t="s">
        <v>2412</v>
      </c>
      <c r="E883" s="273" t="s">
        <v>2468</v>
      </c>
      <c r="F883" s="277" t="s">
        <v>2469</v>
      </c>
      <c r="G883" s="278" t="s">
        <v>2415</v>
      </c>
      <c r="H883" s="278"/>
      <c r="I883" s="273">
        <v>1</v>
      </c>
      <c r="J883" s="273">
        <v>750</v>
      </c>
      <c r="K883" s="273">
        <v>850</v>
      </c>
      <c r="L883" s="273" t="s">
        <v>2467</v>
      </c>
      <c r="M883" s="273" t="s">
        <v>501</v>
      </c>
    </row>
    <row r="884" spans="2:13" x14ac:dyDescent="0.25">
      <c r="B884" s="273" t="s">
        <v>2470</v>
      </c>
      <c r="C884" s="273" t="s">
        <v>2411</v>
      </c>
      <c r="D884" s="273" t="s">
        <v>2412</v>
      </c>
      <c r="E884" s="273" t="s">
        <v>2453</v>
      </c>
      <c r="F884" s="277" t="s">
        <v>2471</v>
      </c>
      <c r="G884" s="278" t="s">
        <v>2415</v>
      </c>
      <c r="H884" s="278"/>
      <c r="I884" s="273">
        <v>2</v>
      </c>
      <c r="J884" s="273">
        <v>400</v>
      </c>
      <c r="K884" s="273">
        <v>916</v>
      </c>
      <c r="L884" s="273" t="s">
        <v>2470</v>
      </c>
      <c r="M884" s="273" t="s">
        <v>501</v>
      </c>
    </row>
    <row r="885" spans="2:13" x14ac:dyDescent="0.25">
      <c r="B885" s="273" t="s">
        <v>2472</v>
      </c>
      <c r="C885" s="273" t="s">
        <v>2411</v>
      </c>
      <c r="D885" s="273" t="s">
        <v>2473</v>
      </c>
      <c r="E885" s="273" t="s">
        <v>2474</v>
      </c>
      <c r="F885" s="277" t="s">
        <v>2475</v>
      </c>
      <c r="G885" s="278" t="s">
        <v>2476</v>
      </c>
      <c r="H885" s="278"/>
      <c r="I885" s="273">
        <v>1</v>
      </c>
      <c r="J885" s="273">
        <v>100</v>
      </c>
      <c r="K885" s="273">
        <v>118</v>
      </c>
      <c r="L885" s="273" t="s">
        <v>2472</v>
      </c>
      <c r="M885" s="273" t="s">
        <v>501</v>
      </c>
    </row>
    <row r="886" spans="2:13" x14ac:dyDescent="0.25">
      <c r="B886" s="273" t="s">
        <v>2477</v>
      </c>
      <c r="C886" s="273" t="s">
        <v>2411</v>
      </c>
      <c r="D886" s="273" t="s">
        <v>2473</v>
      </c>
      <c r="E886" s="273" t="s">
        <v>2478</v>
      </c>
      <c r="F886" s="277" t="s">
        <v>2479</v>
      </c>
      <c r="G886" s="278" t="s">
        <v>2476</v>
      </c>
      <c r="H886" s="278"/>
      <c r="I886" s="273">
        <v>1</v>
      </c>
      <c r="J886" s="273">
        <v>150</v>
      </c>
      <c r="K886" s="273">
        <v>170</v>
      </c>
      <c r="L886" s="273" t="s">
        <v>2477</v>
      </c>
      <c r="M886" s="273" t="s">
        <v>501</v>
      </c>
    </row>
    <row r="887" spans="2:13" x14ac:dyDescent="0.25">
      <c r="B887" s="273" t="s">
        <v>2480</v>
      </c>
      <c r="C887" s="273" t="s">
        <v>2411</v>
      </c>
      <c r="D887" s="273" t="s">
        <v>2473</v>
      </c>
      <c r="E887" s="273" t="s">
        <v>2481</v>
      </c>
      <c r="F887" s="277" t="s">
        <v>2482</v>
      </c>
      <c r="G887" s="278" t="s">
        <v>2476</v>
      </c>
      <c r="H887" s="278"/>
      <c r="I887" s="273">
        <v>1</v>
      </c>
      <c r="J887" s="273">
        <v>175</v>
      </c>
      <c r="K887" s="273">
        <v>194</v>
      </c>
      <c r="L887" s="273" t="s">
        <v>2480</v>
      </c>
      <c r="M887" s="273" t="s">
        <v>501</v>
      </c>
    </row>
    <row r="888" spans="2:13" x14ac:dyDescent="0.25">
      <c r="B888" s="273" t="s">
        <v>2483</v>
      </c>
      <c r="C888" s="273" t="s">
        <v>2411</v>
      </c>
      <c r="D888" s="273" t="s">
        <v>2473</v>
      </c>
      <c r="E888" s="273" t="s">
        <v>2484</v>
      </c>
      <c r="F888" s="277" t="s">
        <v>2485</v>
      </c>
      <c r="G888" s="278" t="s">
        <v>2476</v>
      </c>
      <c r="H888" s="278"/>
      <c r="I888" s="273">
        <v>1</v>
      </c>
      <c r="J888" s="273">
        <v>200</v>
      </c>
      <c r="K888" s="273">
        <v>219</v>
      </c>
      <c r="L888" s="273" t="s">
        <v>2483</v>
      </c>
      <c r="M888" s="273" t="s">
        <v>501</v>
      </c>
    </row>
    <row r="889" spans="2:13" x14ac:dyDescent="0.25">
      <c r="B889" s="273" t="s">
        <v>2486</v>
      </c>
      <c r="C889" s="273" t="s">
        <v>2411</v>
      </c>
      <c r="D889" s="273" t="s">
        <v>2473</v>
      </c>
      <c r="E889" s="273" t="s">
        <v>2487</v>
      </c>
      <c r="F889" s="277" t="s">
        <v>2488</v>
      </c>
      <c r="G889" s="278" t="s">
        <v>2476</v>
      </c>
      <c r="H889" s="278"/>
      <c r="I889" s="273">
        <v>1</v>
      </c>
      <c r="J889" s="273">
        <v>250</v>
      </c>
      <c r="K889" s="273">
        <v>275</v>
      </c>
      <c r="L889" s="273" t="s">
        <v>2486</v>
      </c>
      <c r="M889" s="273" t="s">
        <v>501</v>
      </c>
    </row>
    <row r="890" spans="2:13" x14ac:dyDescent="0.25">
      <c r="B890" s="273" t="s">
        <v>2489</v>
      </c>
      <c r="C890" s="273" t="s">
        <v>2411</v>
      </c>
      <c r="D890" s="273" t="s">
        <v>2473</v>
      </c>
      <c r="E890" s="273" t="s">
        <v>2490</v>
      </c>
      <c r="F890" s="277" t="s">
        <v>2491</v>
      </c>
      <c r="G890" s="278" t="s">
        <v>2476</v>
      </c>
      <c r="H890" s="278"/>
      <c r="I890" s="273">
        <v>1</v>
      </c>
      <c r="J890" s="273">
        <v>300</v>
      </c>
      <c r="K890" s="273">
        <v>324</v>
      </c>
      <c r="L890" s="273" t="s">
        <v>2489</v>
      </c>
      <c r="M890" s="273" t="s">
        <v>501</v>
      </c>
    </row>
    <row r="891" spans="2:13" x14ac:dyDescent="0.25">
      <c r="B891" s="273" t="s">
        <v>2492</v>
      </c>
      <c r="C891" s="273" t="s">
        <v>2411</v>
      </c>
      <c r="D891" s="273" t="s">
        <v>2473</v>
      </c>
      <c r="E891" s="273" t="s">
        <v>2493</v>
      </c>
      <c r="F891" s="277" t="s">
        <v>2494</v>
      </c>
      <c r="G891" s="278" t="s">
        <v>2476</v>
      </c>
      <c r="H891" s="278"/>
      <c r="I891" s="273">
        <v>1</v>
      </c>
      <c r="J891" s="273">
        <v>320</v>
      </c>
      <c r="K891" s="273">
        <v>349</v>
      </c>
      <c r="L891" s="273" t="s">
        <v>2492</v>
      </c>
      <c r="M891" s="273" t="s">
        <v>501</v>
      </c>
    </row>
    <row r="892" spans="2:13" x14ac:dyDescent="0.25">
      <c r="B892" s="273" t="s">
        <v>2495</v>
      </c>
      <c r="C892" s="273" t="s">
        <v>2411</v>
      </c>
      <c r="D892" s="273" t="s">
        <v>2473</v>
      </c>
      <c r="E892" s="273" t="s">
        <v>2496</v>
      </c>
      <c r="F892" s="277" t="s">
        <v>2497</v>
      </c>
      <c r="G892" s="278" t="s">
        <v>2476</v>
      </c>
      <c r="H892" s="278"/>
      <c r="I892" s="273">
        <v>1</v>
      </c>
      <c r="J892" s="273">
        <v>350</v>
      </c>
      <c r="K892" s="273">
        <v>380</v>
      </c>
      <c r="L892" s="273" t="s">
        <v>2495</v>
      </c>
      <c r="M892" s="273" t="s">
        <v>501</v>
      </c>
    </row>
    <row r="893" spans="2:13" x14ac:dyDescent="0.25">
      <c r="B893" s="273" t="s">
        <v>2498</v>
      </c>
      <c r="C893" s="273" t="s">
        <v>2411</v>
      </c>
      <c r="D893" s="273" t="s">
        <v>2473</v>
      </c>
      <c r="E893" s="273" t="s">
        <v>2499</v>
      </c>
      <c r="F893" s="277" t="s">
        <v>2500</v>
      </c>
      <c r="G893" s="278" t="s">
        <v>2476</v>
      </c>
      <c r="H893" s="278"/>
      <c r="I893" s="273">
        <v>1</v>
      </c>
      <c r="J893" s="273">
        <v>400</v>
      </c>
      <c r="K893" s="273">
        <v>435</v>
      </c>
      <c r="L893" s="273" t="s">
        <v>2498</v>
      </c>
      <c r="M893" s="273" t="s">
        <v>501</v>
      </c>
    </row>
    <row r="894" spans="2:13" x14ac:dyDescent="0.25">
      <c r="B894" s="273" t="s">
        <v>2501</v>
      </c>
      <c r="C894" s="273" t="s">
        <v>2411</v>
      </c>
      <c r="D894" s="273" t="s">
        <v>2473</v>
      </c>
      <c r="E894" s="273" t="s">
        <v>2502</v>
      </c>
      <c r="F894" s="277" t="s">
        <v>2503</v>
      </c>
      <c r="G894" s="278" t="s">
        <v>2476</v>
      </c>
      <c r="H894" s="278"/>
      <c r="I894" s="273">
        <v>1</v>
      </c>
      <c r="J894" s="273">
        <v>450</v>
      </c>
      <c r="K894" s="273">
        <v>485</v>
      </c>
      <c r="L894" s="273" t="s">
        <v>2501</v>
      </c>
      <c r="M894" s="273" t="s">
        <v>501</v>
      </c>
    </row>
    <row r="895" spans="2:13" x14ac:dyDescent="0.25">
      <c r="B895" s="273" t="s">
        <v>2504</v>
      </c>
      <c r="C895" s="273" t="s">
        <v>2411</v>
      </c>
      <c r="D895" s="273" t="s">
        <v>2473</v>
      </c>
      <c r="E895" s="273" t="s">
        <v>2505</v>
      </c>
      <c r="F895" s="277" t="s">
        <v>2506</v>
      </c>
      <c r="G895" s="278" t="s">
        <v>2476</v>
      </c>
      <c r="H895" s="278"/>
      <c r="I895" s="273">
        <v>1</v>
      </c>
      <c r="J895" s="273">
        <v>750</v>
      </c>
      <c r="K895" s="273">
        <v>805</v>
      </c>
      <c r="L895" s="273" t="s">
        <v>2504</v>
      </c>
      <c r="M895" s="273" t="s">
        <v>501</v>
      </c>
    </row>
    <row r="896" spans="2:13" x14ac:dyDescent="0.25">
      <c r="B896" s="273" t="s">
        <v>2507</v>
      </c>
      <c r="C896" s="273" t="s">
        <v>2411</v>
      </c>
      <c r="D896" s="273" t="s">
        <v>2473</v>
      </c>
      <c r="E896" s="273" t="s">
        <v>2474</v>
      </c>
      <c r="F896" s="277" t="s">
        <v>2508</v>
      </c>
      <c r="G896" s="278" t="s">
        <v>2509</v>
      </c>
      <c r="H896" s="278"/>
      <c r="I896" s="273">
        <v>1</v>
      </c>
      <c r="J896" s="273">
        <v>100</v>
      </c>
      <c r="K896" s="273">
        <v>128</v>
      </c>
      <c r="L896" s="273" t="s">
        <v>2507</v>
      </c>
      <c r="M896" s="273" t="s">
        <v>501</v>
      </c>
    </row>
    <row r="897" spans="2:13" x14ac:dyDescent="0.25">
      <c r="B897" s="273" t="s">
        <v>2510</v>
      </c>
      <c r="C897" s="273" t="s">
        <v>2411</v>
      </c>
      <c r="D897" s="273" t="s">
        <v>2473</v>
      </c>
      <c r="E897" s="273" t="s">
        <v>2511</v>
      </c>
      <c r="F897" s="277" t="s">
        <v>2512</v>
      </c>
      <c r="G897" s="278" t="s">
        <v>2509</v>
      </c>
      <c r="H897" s="278"/>
      <c r="I897" s="273">
        <v>1</v>
      </c>
      <c r="J897" s="273">
        <v>1000</v>
      </c>
      <c r="K897" s="273">
        <v>1080</v>
      </c>
      <c r="L897" s="273" t="s">
        <v>2510</v>
      </c>
      <c r="M897" s="273" t="s">
        <v>501</v>
      </c>
    </row>
    <row r="898" spans="2:13" x14ac:dyDescent="0.25">
      <c r="B898" s="273" t="s">
        <v>2513</v>
      </c>
      <c r="C898" s="273" t="s">
        <v>2411</v>
      </c>
      <c r="D898" s="273" t="s">
        <v>2473</v>
      </c>
      <c r="E898" s="273" t="s">
        <v>2478</v>
      </c>
      <c r="F898" s="277" t="s">
        <v>2514</v>
      </c>
      <c r="G898" s="278" t="s">
        <v>2509</v>
      </c>
      <c r="H898" s="278"/>
      <c r="I898" s="273">
        <v>1</v>
      </c>
      <c r="J898" s="273">
        <v>150</v>
      </c>
      <c r="K898" s="273">
        <v>190</v>
      </c>
      <c r="L898" s="273" t="s">
        <v>2513</v>
      </c>
      <c r="M898" s="273" t="s">
        <v>501</v>
      </c>
    </row>
    <row r="899" spans="2:13" x14ac:dyDescent="0.25">
      <c r="B899" s="273" t="s">
        <v>2515</v>
      </c>
      <c r="C899" s="273" t="s">
        <v>2411</v>
      </c>
      <c r="D899" s="273" t="s">
        <v>2473</v>
      </c>
      <c r="E899" s="273" t="s">
        <v>2481</v>
      </c>
      <c r="F899" s="277" t="s">
        <v>2516</v>
      </c>
      <c r="G899" s="278" t="s">
        <v>2509</v>
      </c>
      <c r="H899" s="278"/>
      <c r="I899" s="273">
        <v>1</v>
      </c>
      <c r="J899" s="273">
        <v>175</v>
      </c>
      <c r="K899" s="273">
        <v>208</v>
      </c>
      <c r="L899" s="273" t="s">
        <v>2515</v>
      </c>
      <c r="M899" s="273" t="s">
        <v>501</v>
      </c>
    </row>
    <row r="900" spans="2:13" x14ac:dyDescent="0.25">
      <c r="B900" s="273" t="s">
        <v>2517</v>
      </c>
      <c r="C900" s="273" t="s">
        <v>2411</v>
      </c>
      <c r="D900" s="273" t="s">
        <v>2473</v>
      </c>
      <c r="E900" s="273" t="s">
        <v>2484</v>
      </c>
      <c r="F900" s="277" t="s">
        <v>2518</v>
      </c>
      <c r="G900" s="278" t="s">
        <v>2509</v>
      </c>
      <c r="H900" s="278"/>
      <c r="I900" s="273">
        <v>1</v>
      </c>
      <c r="J900" s="273">
        <v>200</v>
      </c>
      <c r="K900" s="273">
        <v>232</v>
      </c>
      <c r="L900" s="273" t="s">
        <v>2517</v>
      </c>
      <c r="M900" s="273" t="s">
        <v>501</v>
      </c>
    </row>
    <row r="901" spans="2:13" x14ac:dyDescent="0.25">
      <c r="B901" s="273" t="s">
        <v>2519</v>
      </c>
      <c r="C901" s="273" t="s">
        <v>2411</v>
      </c>
      <c r="D901" s="273" t="s">
        <v>2473</v>
      </c>
      <c r="E901" s="273" t="s">
        <v>2487</v>
      </c>
      <c r="F901" s="277" t="s">
        <v>2520</v>
      </c>
      <c r="G901" s="278" t="s">
        <v>2509</v>
      </c>
      <c r="H901" s="278"/>
      <c r="I901" s="273">
        <v>1</v>
      </c>
      <c r="J901" s="273">
        <v>250</v>
      </c>
      <c r="K901" s="273">
        <v>288</v>
      </c>
      <c r="L901" s="273" t="s">
        <v>2519</v>
      </c>
      <c r="M901" s="273" t="s">
        <v>501</v>
      </c>
    </row>
    <row r="902" spans="2:13" x14ac:dyDescent="0.25">
      <c r="B902" s="273" t="s">
        <v>2521</v>
      </c>
      <c r="C902" s="273" t="s">
        <v>2411</v>
      </c>
      <c r="D902" s="273" t="s">
        <v>2473</v>
      </c>
      <c r="E902" s="273" t="s">
        <v>2490</v>
      </c>
      <c r="F902" s="277" t="s">
        <v>2522</v>
      </c>
      <c r="G902" s="278" t="s">
        <v>2509</v>
      </c>
      <c r="H902" s="278"/>
      <c r="I902" s="273">
        <v>1</v>
      </c>
      <c r="J902" s="273">
        <v>300</v>
      </c>
      <c r="K902" s="273">
        <v>342</v>
      </c>
      <c r="L902" s="273" t="s">
        <v>2521</v>
      </c>
      <c r="M902" s="273" t="s">
        <v>501</v>
      </c>
    </row>
    <row r="903" spans="2:13" x14ac:dyDescent="0.25">
      <c r="B903" s="273" t="s">
        <v>2523</v>
      </c>
      <c r="C903" s="273" t="s">
        <v>2411</v>
      </c>
      <c r="D903" s="273" t="s">
        <v>2473</v>
      </c>
      <c r="E903" s="273" t="s">
        <v>2493</v>
      </c>
      <c r="F903" s="277" t="s">
        <v>2524</v>
      </c>
      <c r="G903" s="278" t="s">
        <v>2509</v>
      </c>
      <c r="H903" s="278"/>
      <c r="I903" s="273">
        <v>1</v>
      </c>
      <c r="J903" s="273">
        <v>320</v>
      </c>
      <c r="K903" s="273">
        <v>368</v>
      </c>
      <c r="L903" s="273" t="s">
        <v>2523</v>
      </c>
      <c r="M903" s="273" t="s">
        <v>501</v>
      </c>
    </row>
    <row r="904" spans="2:13" x14ac:dyDescent="0.25">
      <c r="B904" s="273" t="s">
        <v>2525</v>
      </c>
      <c r="C904" s="273" t="s">
        <v>2411</v>
      </c>
      <c r="D904" s="273" t="s">
        <v>2473</v>
      </c>
      <c r="E904" s="273" t="s">
        <v>2496</v>
      </c>
      <c r="F904" s="277" t="s">
        <v>2526</v>
      </c>
      <c r="G904" s="278" t="s">
        <v>2509</v>
      </c>
      <c r="H904" s="278"/>
      <c r="I904" s="273">
        <v>1</v>
      </c>
      <c r="J904" s="273">
        <v>350</v>
      </c>
      <c r="K904" s="273">
        <v>400</v>
      </c>
      <c r="L904" s="273" t="s">
        <v>2525</v>
      </c>
      <c r="M904" s="273" t="s">
        <v>501</v>
      </c>
    </row>
    <row r="905" spans="2:13" x14ac:dyDescent="0.25">
      <c r="B905" s="273" t="s">
        <v>2527</v>
      </c>
      <c r="C905" s="273" t="s">
        <v>2411</v>
      </c>
      <c r="D905" s="273" t="s">
        <v>2473</v>
      </c>
      <c r="E905" s="273" t="s">
        <v>2499</v>
      </c>
      <c r="F905" s="277" t="s">
        <v>2528</v>
      </c>
      <c r="G905" s="278" t="s">
        <v>2509</v>
      </c>
      <c r="H905" s="278"/>
      <c r="I905" s="273">
        <v>1</v>
      </c>
      <c r="J905" s="273">
        <v>400</v>
      </c>
      <c r="K905" s="273">
        <v>450</v>
      </c>
      <c r="L905" s="273" t="s">
        <v>2527</v>
      </c>
      <c r="M905" s="273" t="s">
        <v>501</v>
      </c>
    </row>
    <row r="906" spans="2:13" x14ac:dyDescent="0.25">
      <c r="B906" s="273" t="s">
        <v>2529</v>
      </c>
      <c r="C906" s="273" t="s">
        <v>2411</v>
      </c>
      <c r="D906" s="273" t="s">
        <v>2473</v>
      </c>
      <c r="E906" s="273" t="s">
        <v>2502</v>
      </c>
      <c r="F906" s="277" t="s">
        <v>2530</v>
      </c>
      <c r="G906" s="278" t="s">
        <v>2509</v>
      </c>
      <c r="H906" s="278"/>
      <c r="I906" s="273">
        <v>1</v>
      </c>
      <c r="J906" s="273">
        <v>450</v>
      </c>
      <c r="K906" s="273">
        <v>506</v>
      </c>
      <c r="L906" s="273" t="s">
        <v>2529</v>
      </c>
      <c r="M906" s="273" t="s">
        <v>501</v>
      </c>
    </row>
    <row r="907" spans="2:13" x14ac:dyDescent="0.25">
      <c r="B907" s="273" t="s">
        <v>2531</v>
      </c>
      <c r="C907" s="273" t="s">
        <v>2411</v>
      </c>
      <c r="D907" s="273" t="s">
        <v>2473</v>
      </c>
      <c r="E907" s="273" t="s">
        <v>2505</v>
      </c>
      <c r="F907" s="277" t="s">
        <v>2532</v>
      </c>
      <c r="G907" s="278" t="s">
        <v>2509</v>
      </c>
      <c r="H907" s="278"/>
      <c r="I907" s="273">
        <v>1</v>
      </c>
      <c r="J907" s="273">
        <v>750</v>
      </c>
      <c r="K907" s="273">
        <v>815</v>
      </c>
      <c r="L907" s="273" t="s">
        <v>2531</v>
      </c>
      <c r="M907" s="273" t="s">
        <v>501</v>
      </c>
    </row>
    <row r="908" spans="2:13" x14ac:dyDescent="0.25">
      <c r="B908" s="273" t="s">
        <v>2533</v>
      </c>
      <c r="C908" s="273" t="s">
        <v>2411</v>
      </c>
      <c r="D908" s="273" t="s">
        <v>2534</v>
      </c>
      <c r="E908" s="273" t="s">
        <v>2535</v>
      </c>
      <c r="F908" s="277" t="s">
        <v>2536</v>
      </c>
      <c r="G908" s="278" t="s">
        <v>2415</v>
      </c>
      <c r="H908" s="278"/>
      <c r="I908" s="273">
        <v>1</v>
      </c>
      <c r="J908" s="273">
        <v>100</v>
      </c>
      <c r="K908" s="273">
        <v>138</v>
      </c>
      <c r="L908" s="273" t="s">
        <v>2533</v>
      </c>
      <c r="M908" s="273" t="s">
        <v>501</v>
      </c>
    </row>
    <row r="909" spans="2:13" x14ac:dyDescent="0.25">
      <c r="B909" s="273" t="s">
        <v>2537</v>
      </c>
      <c r="C909" s="273" t="s">
        <v>2411</v>
      </c>
      <c r="D909" s="273" t="s">
        <v>2534</v>
      </c>
      <c r="E909" s="273" t="s">
        <v>2538</v>
      </c>
      <c r="F909" s="277" t="s">
        <v>2539</v>
      </c>
      <c r="G909" s="278" t="s">
        <v>2415</v>
      </c>
      <c r="H909" s="278"/>
      <c r="I909" s="273">
        <v>1</v>
      </c>
      <c r="J909" s="273">
        <v>1000</v>
      </c>
      <c r="K909" s="273">
        <v>1100</v>
      </c>
      <c r="L909" s="273" t="s">
        <v>2537</v>
      </c>
      <c r="M909" s="273" t="s">
        <v>501</v>
      </c>
    </row>
    <row r="910" spans="2:13" x14ac:dyDescent="0.25">
      <c r="B910" s="273" t="s">
        <v>2540</v>
      </c>
      <c r="C910" s="273" t="s">
        <v>2411</v>
      </c>
      <c r="D910" s="273" t="s">
        <v>2534</v>
      </c>
      <c r="E910" s="273" t="s">
        <v>2541</v>
      </c>
      <c r="F910" s="277" t="s">
        <v>2542</v>
      </c>
      <c r="G910" s="278" t="s">
        <v>2415</v>
      </c>
      <c r="H910" s="278"/>
      <c r="I910" s="273">
        <v>1</v>
      </c>
      <c r="J910" s="273">
        <v>150</v>
      </c>
      <c r="K910" s="273">
        <v>188</v>
      </c>
      <c r="L910" s="273" t="s">
        <v>2540</v>
      </c>
      <c r="M910" s="273" t="s">
        <v>501</v>
      </c>
    </row>
    <row r="911" spans="2:13" x14ac:dyDescent="0.25">
      <c r="B911" s="273" t="s">
        <v>2543</v>
      </c>
      <c r="C911" s="273" t="s">
        <v>2411</v>
      </c>
      <c r="D911" s="273" t="s">
        <v>2534</v>
      </c>
      <c r="E911" s="273" t="s">
        <v>2544</v>
      </c>
      <c r="F911" s="277" t="s">
        <v>2545</v>
      </c>
      <c r="G911" s="278" t="s">
        <v>2415</v>
      </c>
      <c r="H911" s="278"/>
      <c r="I911" s="273">
        <v>1</v>
      </c>
      <c r="J911" s="273">
        <v>200</v>
      </c>
      <c r="K911" s="273">
        <v>250</v>
      </c>
      <c r="L911" s="273" t="s">
        <v>2543</v>
      </c>
      <c r="M911" s="273" t="s">
        <v>501</v>
      </c>
    </row>
    <row r="912" spans="2:13" x14ac:dyDescent="0.25">
      <c r="B912" s="273" t="s">
        <v>2546</v>
      </c>
      <c r="C912" s="273" t="s">
        <v>2411</v>
      </c>
      <c r="D912" s="273" t="s">
        <v>2534</v>
      </c>
      <c r="E912" s="273" t="s">
        <v>2547</v>
      </c>
      <c r="F912" s="277" t="s">
        <v>2548</v>
      </c>
      <c r="G912" s="278" t="s">
        <v>2415</v>
      </c>
      <c r="H912" s="278"/>
      <c r="I912" s="273">
        <v>1</v>
      </c>
      <c r="J912" s="273">
        <v>225</v>
      </c>
      <c r="K912" s="273">
        <v>275</v>
      </c>
      <c r="L912" s="273" t="s">
        <v>2546</v>
      </c>
      <c r="M912" s="273" t="s">
        <v>501</v>
      </c>
    </row>
    <row r="913" spans="2:13" x14ac:dyDescent="0.25">
      <c r="B913" s="273" t="s">
        <v>2549</v>
      </c>
      <c r="C913" s="273" t="s">
        <v>2411</v>
      </c>
      <c r="D913" s="273" t="s">
        <v>2534</v>
      </c>
      <c r="E913" s="273" t="s">
        <v>2550</v>
      </c>
      <c r="F913" s="277" t="s">
        <v>2551</v>
      </c>
      <c r="G913" s="278" t="s">
        <v>2415</v>
      </c>
      <c r="H913" s="278"/>
      <c r="I913" s="273">
        <v>1</v>
      </c>
      <c r="J913" s="273">
        <v>250</v>
      </c>
      <c r="K913" s="273">
        <v>295</v>
      </c>
      <c r="L913" s="273" t="s">
        <v>2549</v>
      </c>
      <c r="M913" s="273" t="s">
        <v>501</v>
      </c>
    </row>
    <row r="914" spans="2:13" x14ac:dyDescent="0.25">
      <c r="B914" s="273" t="s">
        <v>2552</v>
      </c>
      <c r="C914" s="273" t="s">
        <v>2411</v>
      </c>
      <c r="D914" s="273" t="s">
        <v>2534</v>
      </c>
      <c r="E914" s="273" t="s">
        <v>2553</v>
      </c>
      <c r="F914" s="277" t="s">
        <v>2554</v>
      </c>
      <c r="G914" s="278" t="s">
        <v>2415</v>
      </c>
      <c r="H914" s="278"/>
      <c r="I914" s="273">
        <v>1</v>
      </c>
      <c r="J914" s="273">
        <v>310</v>
      </c>
      <c r="K914" s="273">
        <v>365</v>
      </c>
      <c r="L914" s="273" t="s">
        <v>2552</v>
      </c>
      <c r="M914" s="273" t="s">
        <v>501</v>
      </c>
    </row>
    <row r="915" spans="2:13" x14ac:dyDescent="0.25">
      <c r="B915" s="273" t="s">
        <v>2555</v>
      </c>
      <c r="C915" s="273" t="s">
        <v>2411</v>
      </c>
      <c r="D915" s="273" t="s">
        <v>2534</v>
      </c>
      <c r="E915" s="273" t="s">
        <v>2556</v>
      </c>
      <c r="F915" s="277" t="s">
        <v>2557</v>
      </c>
      <c r="G915" s="278" t="s">
        <v>2415</v>
      </c>
      <c r="H915" s="278"/>
      <c r="I915" s="273">
        <v>1</v>
      </c>
      <c r="J915" s="273">
        <v>35</v>
      </c>
      <c r="K915" s="273">
        <v>46</v>
      </c>
      <c r="L915" s="273" t="s">
        <v>2555</v>
      </c>
      <c r="M915" s="273" t="s">
        <v>501</v>
      </c>
    </row>
    <row r="916" spans="2:13" x14ac:dyDescent="0.25">
      <c r="B916" s="273" t="s">
        <v>2558</v>
      </c>
      <c r="C916" s="273" t="s">
        <v>2411</v>
      </c>
      <c r="D916" s="273" t="s">
        <v>2534</v>
      </c>
      <c r="E916" s="273" t="s">
        <v>2559</v>
      </c>
      <c r="F916" s="277" t="s">
        <v>2560</v>
      </c>
      <c r="G916" s="278" t="s">
        <v>2415</v>
      </c>
      <c r="H916" s="278"/>
      <c r="I916" s="273">
        <v>1</v>
      </c>
      <c r="J916" s="273">
        <v>360</v>
      </c>
      <c r="K916" s="273">
        <v>414</v>
      </c>
      <c r="L916" s="273" t="s">
        <v>2558</v>
      </c>
      <c r="M916" s="273" t="s">
        <v>501</v>
      </c>
    </row>
    <row r="917" spans="2:13" x14ac:dyDescent="0.25">
      <c r="B917" s="273" t="s">
        <v>2561</v>
      </c>
      <c r="C917" s="273" t="s">
        <v>2411</v>
      </c>
      <c r="D917" s="273" t="s">
        <v>2534</v>
      </c>
      <c r="E917" s="273" t="s">
        <v>2562</v>
      </c>
      <c r="F917" s="277" t="s">
        <v>2563</v>
      </c>
      <c r="G917" s="278" t="s">
        <v>2415</v>
      </c>
      <c r="H917" s="278"/>
      <c r="I917" s="273">
        <v>1</v>
      </c>
      <c r="J917" s="273">
        <v>400</v>
      </c>
      <c r="K917" s="273">
        <v>465</v>
      </c>
      <c r="L917" s="273" t="s">
        <v>2561</v>
      </c>
      <c r="M917" s="273" t="s">
        <v>501</v>
      </c>
    </row>
    <row r="918" spans="2:13" x14ac:dyDescent="0.25">
      <c r="B918" s="273" t="s">
        <v>2564</v>
      </c>
      <c r="C918" s="273" t="s">
        <v>2411</v>
      </c>
      <c r="D918" s="273" t="s">
        <v>2534</v>
      </c>
      <c r="E918" s="273" t="s">
        <v>2565</v>
      </c>
      <c r="F918" s="277" t="s">
        <v>2566</v>
      </c>
      <c r="G918" s="278" t="s">
        <v>2415</v>
      </c>
      <c r="H918" s="278"/>
      <c r="I918" s="273">
        <v>1</v>
      </c>
      <c r="J918" s="273">
        <v>50</v>
      </c>
      <c r="K918" s="273">
        <v>66</v>
      </c>
      <c r="L918" s="273" t="s">
        <v>2564</v>
      </c>
      <c r="M918" s="273" t="s">
        <v>501</v>
      </c>
    </row>
    <row r="919" spans="2:13" x14ac:dyDescent="0.25">
      <c r="B919" s="273" t="s">
        <v>2567</v>
      </c>
      <c r="C919" s="273" t="s">
        <v>2411</v>
      </c>
      <c r="D919" s="273" t="s">
        <v>2534</v>
      </c>
      <c r="E919" s="273" t="s">
        <v>2568</v>
      </c>
      <c r="F919" s="277" t="s">
        <v>2569</v>
      </c>
      <c r="G919" s="278" t="s">
        <v>2415</v>
      </c>
      <c r="H919" s="278"/>
      <c r="I919" s="273">
        <v>1</v>
      </c>
      <c r="J919" s="273">
        <v>600</v>
      </c>
      <c r="K919" s="273">
        <v>675</v>
      </c>
      <c r="L919" s="273" t="s">
        <v>2567</v>
      </c>
      <c r="M919" s="273" t="s">
        <v>501</v>
      </c>
    </row>
    <row r="920" spans="2:13" x14ac:dyDescent="0.25">
      <c r="B920" s="273" t="s">
        <v>2570</v>
      </c>
      <c r="C920" s="273" t="s">
        <v>2411</v>
      </c>
      <c r="D920" s="273" t="s">
        <v>2534</v>
      </c>
      <c r="E920" s="273" t="s">
        <v>2571</v>
      </c>
      <c r="F920" s="277" t="s">
        <v>2572</v>
      </c>
      <c r="G920" s="278" t="s">
        <v>2415</v>
      </c>
      <c r="H920" s="278"/>
      <c r="I920" s="273">
        <v>1</v>
      </c>
      <c r="J920" s="273">
        <v>70</v>
      </c>
      <c r="K920" s="273">
        <v>95</v>
      </c>
      <c r="L920" s="273" t="s">
        <v>2570</v>
      </c>
      <c r="M920" s="273" t="s">
        <v>501</v>
      </c>
    </row>
    <row r="921" spans="2:13" x14ac:dyDescent="0.25">
      <c r="B921" s="273" t="s">
        <v>2573</v>
      </c>
      <c r="C921" s="273" t="s">
        <v>2411</v>
      </c>
      <c r="D921" s="273" t="s">
        <v>2534</v>
      </c>
      <c r="E921" s="273" t="s">
        <v>2574</v>
      </c>
      <c r="F921" s="277" t="s">
        <v>2575</v>
      </c>
      <c r="G921" s="278" t="s">
        <v>2415</v>
      </c>
      <c r="H921" s="278"/>
      <c r="I921" s="273">
        <v>1</v>
      </c>
      <c r="J921" s="273">
        <v>750</v>
      </c>
      <c r="K921" s="273">
        <v>835</v>
      </c>
      <c r="L921" s="273" t="s">
        <v>2573</v>
      </c>
      <c r="M921" s="273" t="s">
        <v>501</v>
      </c>
    </row>
    <row r="922" spans="2:13" x14ac:dyDescent="0.25">
      <c r="B922" s="273" t="s">
        <v>2576</v>
      </c>
      <c r="C922" s="273" t="s">
        <v>2411</v>
      </c>
      <c r="D922" s="273" t="s">
        <v>2577</v>
      </c>
      <c r="E922" s="273" t="s">
        <v>2578</v>
      </c>
      <c r="F922" s="277" t="s">
        <v>2579</v>
      </c>
      <c r="G922" s="278" t="s">
        <v>2415</v>
      </c>
      <c r="H922" s="278"/>
      <c r="I922" s="273">
        <v>1</v>
      </c>
      <c r="J922" s="273">
        <v>100</v>
      </c>
      <c r="K922" s="273">
        <v>125</v>
      </c>
      <c r="L922" s="273" t="s">
        <v>2576</v>
      </c>
      <c r="M922" s="273" t="s">
        <v>501</v>
      </c>
    </row>
    <row r="923" spans="2:13" x14ac:dyDescent="0.25">
      <c r="B923" s="273" t="s">
        <v>2580</v>
      </c>
      <c r="C923" s="273" t="s">
        <v>2411</v>
      </c>
      <c r="D923" s="273" t="s">
        <v>2577</v>
      </c>
      <c r="E923" s="273" t="s">
        <v>2581</v>
      </c>
      <c r="F923" s="277" t="s">
        <v>2582</v>
      </c>
      <c r="G923" s="278" t="s">
        <v>2415</v>
      </c>
      <c r="H923" s="278"/>
      <c r="I923" s="273">
        <v>1</v>
      </c>
      <c r="J923" s="273">
        <v>1000</v>
      </c>
      <c r="K923" s="273">
        <v>1075</v>
      </c>
      <c r="L923" s="273" t="s">
        <v>2580</v>
      </c>
      <c r="M923" s="273" t="s">
        <v>501</v>
      </c>
    </row>
    <row r="924" spans="2:13" x14ac:dyDescent="0.25">
      <c r="B924" s="273" t="s">
        <v>2583</v>
      </c>
      <c r="C924" s="273" t="s">
        <v>2411</v>
      </c>
      <c r="D924" s="273" t="s">
        <v>2577</v>
      </c>
      <c r="E924" s="273" t="s">
        <v>2584</v>
      </c>
      <c r="F924" s="277" t="s">
        <v>2585</v>
      </c>
      <c r="G924" s="278" t="s">
        <v>2415</v>
      </c>
      <c r="H924" s="278"/>
      <c r="I924" s="273">
        <v>1</v>
      </c>
      <c r="J924" s="273">
        <v>175</v>
      </c>
      <c r="K924" s="273">
        <v>205</v>
      </c>
      <c r="L924" s="273" t="s">
        <v>2583</v>
      </c>
      <c r="M924" s="273" t="s">
        <v>501</v>
      </c>
    </row>
    <row r="925" spans="2:13" x14ac:dyDescent="0.25">
      <c r="B925" s="273" t="s">
        <v>2586</v>
      </c>
      <c r="C925" s="273" t="s">
        <v>2411</v>
      </c>
      <c r="D925" s="273" t="s">
        <v>2577</v>
      </c>
      <c r="E925" s="273" t="s">
        <v>2587</v>
      </c>
      <c r="F925" s="277" t="s">
        <v>2588</v>
      </c>
      <c r="G925" s="278" t="s">
        <v>2415</v>
      </c>
      <c r="H925" s="278"/>
      <c r="I925" s="273">
        <v>1</v>
      </c>
      <c r="J925" s="273">
        <v>250</v>
      </c>
      <c r="K925" s="273">
        <v>290</v>
      </c>
      <c r="L925" s="273" t="s">
        <v>2586</v>
      </c>
      <c r="M925" s="273" t="s">
        <v>501</v>
      </c>
    </row>
    <row r="926" spans="2:13" x14ac:dyDescent="0.25">
      <c r="B926" s="273" t="s">
        <v>2589</v>
      </c>
      <c r="C926" s="273" t="s">
        <v>2411</v>
      </c>
      <c r="D926" s="273" t="s">
        <v>2577</v>
      </c>
      <c r="E926" s="273" t="s">
        <v>2590</v>
      </c>
      <c r="F926" s="277" t="s">
        <v>2591</v>
      </c>
      <c r="G926" s="278" t="s">
        <v>2415</v>
      </c>
      <c r="H926" s="278"/>
      <c r="I926" s="273">
        <v>1</v>
      </c>
      <c r="J926" s="273">
        <v>40</v>
      </c>
      <c r="K926" s="273">
        <v>50</v>
      </c>
      <c r="L926" s="273" t="s">
        <v>2589</v>
      </c>
      <c r="M926" s="273" t="s">
        <v>501</v>
      </c>
    </row>
    <row r="927" spans="2:13" x14ac:dyDescent="0.25">
      <c r="B927" s="273" t="s">
        <v>2592</v>
      </c>
      <c r="C927" s="273" t="s">
        <v>2411</v>
      </c>
      <c r="D927" s="273" t="s">
        <v>2577</v>
      </c>
      <c r="E927" s="273" t="s">
        <v>2593</v>
      </c>
      <c r="F927" s="277" t="s">
        <v>2594</v>
      </c>
      <c r="G927" s="278" t="s">
        <v>2415</v>
      </c>
      <c r="H927" s="278"/>
      <c r="I927" s="273">
        <v>1</v>
      </c>
      <c r="J927" s="273">
        <v>400</v>
      </c>
      <c r="K927" s="273">
        <v>455</v>
      </c>
      <c r="L927" s="273" t="s">
        <v>2592</v>
      </c>
      <c r="M927" s="273" t="s">
        <v>501</v>
      </c>
    </row>
    <row r="928" spans="2:13" x14ac:dyDescent="0.25">
      <c r="B928" s="273" t="s">
        <v>2595</v>
      </c>
      <c r="C928" s="273" t="s">
        <v>2411</v>
      </c>
      <c r="D928" s="273" t="s">
        <v>2577</v>
      </c>
      <c r="E928" s="273" t="s">
        <v>2596</v>
      </c>
      <c r="F928" s="277" t="s">
        <v>2597</v>
      </c>
      <c r="G928" s="278" t="s">
        <v>2415</v>
      </c>
      <c r="H928" s="278"/>
      <c r="I928" s="273">
        <v>1</v>
      </c>
      <c r="J928" s="273">
        <v>50</v>
      </c>
      <c r="K928" s="273">
        <v>74</v>
      </c>
      <c r="L928" s="273" t="s">
        <v>2595</v>
      </c>
      <c r="M928" s="273" t="s">
        <v>501</v>
      </c>
    </row>
    <row r="929" spans="2:13" x14ac:dyDescent="0.25">
      <c r="B929" s="273" t="s">
        <v>2598</v>
      </c>
      <c r="C929" s="273" t="s">
        <v>2411</v>
      </c>
      <c r="D929" s="273" t="s">
        <v>2577</v>
      </c>
      <c r="E929" s="273" t="s">
        <v>2599</v>
      </c>
      <c r="F929" s="277" t="s">
        <v>2600</v>
      </c>
      <c r="G929" s="278" t="s">
        <v>2415</v>
      </c>
      <c r="H929" s="278"/>
      <c r="I929" s="273">
        <v>1</v>
      </c>
      <c r="J929" s="273">
        <v>700</v>
      </c>
      <c r="K929" s="273">
        <v>780</v>
      </c>
      <c r="L929" s="273" t="s">
        <v>2598</v>
      </c>
      <c r="M929" s="273" t="s">
        <v>501</v>
      </c>
    </row>
    <row r="930" spans="2:13" x14ac:dyDescent="0.25">
      <c r="B930" s="273" t="s">
        <v>2601</v>
      </c>
      <c r="C930" s="273" t="s">
        <v>2411</v>
      </c>
      <c r="D930" s="273" t="s">
        <v>2577</v>
      </c>
      <c r="E930" s="273" t="s">
        <v>2602</v>
      </c>
      <c r="F930" s="277" t="s">
        <v>2603</v>
      </c>
      <c r="G930" s="278" t="s">
        <v>2415</v>
      </c>
      <c r="H930" s="278"/>
      <c r="I930" s="273">
        <v>1</v>
      </c>
      <c r="J930" s="273">
        <v>75</v>
      </c>
      <c r="K930" s="273">
        <v>93</v>
      </c>
      <c r="L930" s="273" t="s">
        <v>2601</v>
      </c>
      <c r="M930" s="273" t="s">
        <v>501</v>
      </c>
    </row>
    <row r="931" spans="2:13" x14ac:dyDescent="0.25">
      <c r="B931" s="273" t="s">
        <v>2604</v>
      </c>
      <c r="C931" s="273" t="s">
        <v>2411</v>
      </c>
      <c r="D931" s="273" t="s">
        <v>2577</v>
      </c>
      <c r="E931" s="273" t="s">
        <v>2593</v>
      </c>
      <c r="F931" s="277" t="s">
        <v>2605</v>
      </c>
      <c r="G931" s="278" t="s">
        <v>2415</v>
      </c>
      <c r="H931" s="278"/>
      <c r="I931" s="273">
        <v>2</v>
      </c>
      <c r="J931" s="273">
        <v>400</v>
      </c>
      <c r="K931" s="273">
        <v>910</v>
      </c>
      <c r="L931" s="273" t="s">
        <v>2604</v>
      </c>
      <c r="M931" s="273" t="s">
        <v>501</v>
      </c>
    </row>
    <row r="932" spans="2:13" x14ac:dyDescent="0.25">
      <c r="B932" s="273" t="s">
        <v>2606</v>
      </c>
      <c r="C932" s="273" t="s">
        <v>2607</v>
      </c>
      <c r="D932" s="273" t="s">
        <v>2607</v>
      </c>
      <c r="E932" s="273" t="s">
        <v>560</v>
      </c>
      <c r="F932" s="284" t="s">
        <v>558</v>
      </c>
      <c r="G932" s="273" t="s">
        <v>560</v>
      </c>
      <c r="H932" s="273"/>
      <c r="I932" s="273" t="s">
        <v>560</v>
      </c>
      <c r="J932" s="273" t="s">
        <v>560</v>
      </c>
      <c r="K932" s="285" t="s">
        <v>558</v>
      </c>
      <c r="L932" s="283" t="s">
        <v>2606</v>
      </c>
      <c r="M932" s="285" t="s">
        <v>558</v>
      </c>
    </row>
    <row r="933" spans="2:13" x14ac:dyDescent="0.25">
      <c r="B933" s="273" t="s">
        <v>2608</v>
      </c>
      <c r="C933" s="273" t="s">
        <v>2607</v>
      </c>
      <c r="D933" s="273" t="s">
        <v>2607</v>
      </c>
      <c r="E933" s="273" t="s">
        <v>560</v>
      </c>
      <c r="F933" s="284" t="s">
        <v>558</v>
      </c>
      <c r="G933" s="273" t="s">
        <v>560</v>
      </c>
      <c r="H933" s="273"/>
      <c r="I933" s="273" t="s">
        <v>560</v>
      </c>
      <c r="J933" s="273" t="s">
        <v>560</v>
      </c>
      <c r="K933" s="285" t="s">
        <v>558</v>
      </c>
      <c r="L933" s="283" t="s">
        <v>2608</v>
      </c>
      <c r="M933" s="285" t="s">
        <v>558</v>
      </c>
    </row>
    <row r="934" spans="2:13" x14ac:dyDescent="0.25">
      <c r="B934" s="273" t="s">
        <v>2609</v>
      </c>
      <c r="C934" s="273" t="s">
        <v>2607</v>
      </c>
      <c r="D934" s="273" t="s">
        <v>2607</v>
      </c>
      <c r="E934" s="273" t="s">
        <v>560</v>
      </c>
      <c r="F934" s="284" t="s">
        <v>558</v>
      </c>
      <c r="G934" s="273" t="s">
        <v>560</v>
      </c>
      <c r="H934" s="273"/>
      <c r="I934" s="273" t="s">
        <v>560</v>
      </c>
      <c r="J934" s="273" t="s">
        <v>560</v>
      </c>
      <c r="K934" s="285" t="s">
        <v>558</v>
      </c>
      <c r="L934" s="283" t="s">
        <v>2609</v>
      </c>
      <c r="M934" s="285" t="s">
        <v>558</v>
      </c>
    </row>
    <row r="935" spans="2:13" x14ac:dyDescent="0.25">
      <c r="B935" s="273" t="s">
        <v>2610</v>
      </c>
      <c r="C935" s="273" t="s">
        <v>2607</v>
      </c>
      <c r="D935" s="273" t="s">
        <v>2607</v>
      </c>
      <c r="E935" s="273" t="s">
        <v>560</v>
      </c>
      <c r="F935" s="284" t="s">
        <v>558</v>
      </c>
      <c r="G935" s="273" t="s">
        <v>560</v>
      </c>
      <c r="H935" s="273"/>
      <c r="I935" s="273" t="s">
        <v>560</v>
      </c>
      <c r="J935" s="273" t="s">
        <v>560</v>
      </c>
      <c r="K935" s="285" t="s">
        <v>558</v>
      </c>
      <c r="L935" s="283" t="s">
        <v>2610</v>
      </c>
      <c r="M935" s="285" t="s">
        <v>558</v>
      </c>
    </row>
    <row r="936" spans="2:13" x14ac:dyDescent="0.25">
      <c r="B936" s="273" t="s">
        <v>2611</v>
      </c>
      <c r="C936" s="273" t="s">
        <v>2607</v>
      </c>
      <c r="D936" s="273" t="s">
        <v>2607</v>
      </c>
      <c r="E936" s="273" t="s">
        <v>560</v>
      </c>
      <c r="F936" s="284" t="s">
        <v>558</v>
      </c>
      <c r="G936" s="273" t="s">
        <v>560</v>
      </c>
      <c r="H936" s="273"/>
      <c r="I936" s="273" t="s">
        <v>560</v>
      </c>
      <c r="J936" s="273" t="s">
        <v>560</v>
      </c>
      <c r="K936" s="285" t="s">
        <v>558</v>
      </c>
      <c r="L936" s="283" t="s">
        <v>2611</v>
      </c>
      <c r="M936" s="285" t="s">
        <v>558</v>
      </c>
    </row>
    <row r="937" spans="2:13" x14ac:dyDescent="0.25">
      <c r="B937" s="273" t="s">
        <v>2612</v>
      </c>
      <c r="C937" s="273" t="s">
        <v>2607</v>
      </c>
      <c r="D937" s="273" t="s">
        <v>2607</v>
      </c>
      <c r="E937" s="273" t="s">
        <v>560</v>
      </c>
      <c r="F937" s="284" t="s">
        <v>558</v>
      </c>
      <c r="G937" s="273" t="s">
        <v>560</v>
      </c>
      <c r="H937" s="273"/>
      <c r="I937" s="273" t="s">
        <v>560</v>
      </c>
      <c r="J937" s="273" t="s">
        <v>560</v>
      </c>
      <c r="K937" s="285" t="s">
        <v>558</v>
      </c>
      <c r="L937" s="283" t="s">
        <v>2612</v>
      </c>
      <c r="M937" s="285" t="s">
        <v>558</v>
      </c>
    </row>
    <row r="938" spans="2:13" x14ac:dyDescent="0.25">
      <c r="B938" s="273" t="s">
        <v>2613</v>
      </c>
      <c r="C938" s="273" t="s">
        <v>2607</v>
      </c>
      <c r="D938" s="273" t="s">
        <v>2607</v>
      </c>
      <c r="E938" s="273" t="s">
        <v>560</v>
      </c>
      <c r="F938" s="284" t="s">
        <v>558</v>
      </c>
      <c r="G938" s="273" t="s">
        <v>560</v>
      </c>
      <c r="H938" s="273"/>
      <c r="I938" s="273" t="s">
        <v>560</v>
      </c>
      <c r="J938" s="273" t="s">
        <v>560</v>
      </c>
      <c r="K938" s="285" t="s">
        <v>558</v>
      </c>
      <c r="L938" s="283" t="s">
        <v>2613</v>
      </c>
      <c r="M938" s="285" t="s">
        <v>558</v>
      </c>
    </row>
    <row r="939" spans="2:13" x14ac:dyDescent="0.25">
      <c r="B939" s="273" t="s">
        <v>2614</v>
      </c>
      <c r="C939" s="273" t="s">
        <v>2607</v>
      </c>
      <c r="D939" s="273" t="s">
        <v>2607</v>
      </c>
      <c r="E939" s="273" t="s">
        <v>560</v>
      </c>
      <c r="F939" s="284" t="s">
        <v>558</v>
      </c>
      <c r="G939" s="273" t="s">
        <v>560</v>
      </c>
      <c r="H939" s="273"/>
      <c r="I939" s="273" t="s">
        <v>560</v>
      </c>
      <c r="J939" s="273" t="s">
        <v>560</v>
      </c>
      <c r="K939" s="285" t="s">
        <v>558</v>
      </c>
      <c r="L939" s="283" t="s">
        <v>2614</v>
      </c>
      <c r="M939" s="285" t="s">
        <v>558</v>
      </c>
    </row>
    <row r="940" spans="2:13" x14ac:dyDescent="0.25">
      <c r="B940" s="273" t="s">
        <v>2615</v>
      </c>
      <c r="C940" s="273" t="s">
        <v>2607</v>
      </c>
      <c r="D940" s="273" t="s">
        <v>2607</v>
      </c>
      <c r="E940" s="273" t="s">
        <v>560</v>
      </c>
      <c r="F940" s="284" t="s">
        <v>558</v>
      </c>
      <c r="G940" s="273" t="s">
        <v>560</v>
      </c>
      <c r="H940" s="273"/>
      <c r="I940" s="273" t="s">
        <v>560</v>
      </c>
      <c r="J940" s="273" t="s">
        <v>560</v>
      </c>
      <c r="K940" s="285" t="s">
        <v>558</v>
      </c>
      <c r="L940" s="283" t="s">
        <v>2615</v>
      </c>
      <c r="M940" s="285" t="s">
        <v>558</v>
      </c>
    </row>
    <row r="941" spans="2:13" x14ac:dyDescent="0.25">
      <c r="B941" s="273" t="s">
        <v>2616</v>
      </c>
      <c r="C941" s="273" t="s">
        <v>2607</v>
      </c>
      <c r="D941" s="273" t="s">
        <v>2607</v>
      </c>
      <c r="E941" s="273" t="s">
        <v>560</v>
      </c>
      <c r="F941" s="284" t="s">
        <v>558</v>
      </c>
      <c r="G941" s="273" t="s">
        <v>560</v>
      </c>
      <c r="H941" s="273"/>
      <c r="I941" s="273" t="s">
        <v>560</v>
      </c>
      <c r="J941" s="273" t="s">
        <v>560</v>
      </c>
      <c r="K941" s="285" t="s">
        <v>558</v>
      </c>
      <c r="L941" s="283" t="s">
        <v>2616</v>
      </c>
      <c r="M941" s="285" t="s">
        <v>558</v>
      </c>
    </row>
    <row r="942" spans="2:13" x14ac:dyDescent="0.25">
      <c r="B942" s="273" t="s">
        <v>2617</v>
      </c>
      <c r="C942" s="273" t="s">
        <v>2607</v>
      </c>
      <c r="D942" s="273" t="s">
        <v>2607</v>
      </c>
      <c r="E942" s="273" t="s">
        <v>560</v>
      </c>
      <c r="F942" s="284" t="s">
        <v>558</v>
      </c>
      <c r="G942" s="273" t="s">
        <v>560</v>
      </c>
      <c r="H942" s="273"/>
      <c r="I942" s="273" t="s">
        <v>560</v>
      </c>
      <c r="J942" s="273" t="s">
        <v>560</v>
      </c>
      <c r="K942" s="285" t="s">
        <v>558</v>
      </c>
      <c r="L942" s="283" t="s">
        <v>2617</v>
      </c>
      <c r="M942" s="285" t="s">
        <v>558</v>
      </c>
    </row>
    <row r="943" spans="2:13" x14ac:dyDescent="0.25">
      <c r="B943" s="273" t="s">
        <v>2618</v>
      </c>
      <c r="C943" s="273" t="s">
        <v>2607</v>
      </c>
      <c r="D943" s="273" t="s">
        <v>2607</v>
      </c>
      <c r="E943" s="273" t="s">
        <v>560</v>
      </c>
      <c r="F943" s="284" t="s">
        <v>558</v>
      </c>
      <c r="G943" s="273" t="s">
        <v>560</v>
      </c>
      <c r="H943" s="273"/>
      <c r="I943" s="273" t="s">
        <v>560</v>
      </c>
      <c r="J943" s="273" t="s">
        <v>560</v>
      </c>
      <c r="K943" s="285" t="s">
        <v>558</v>
      </c>
      <c r="L943" s="283" t="s">
        <v>2618</v>
      </c>
      <c r="M943" s="285" t="s">
        <v>558</v>
      </c>
    </row>
    <row r="944" spans="2:13" x14ac:dyDescent="0.25">
      <c r="B944" s="273" t="s">
        <v>2619</v>
      </c>
      <c r="C944" s="273" t="s">
        <v>2607</v>
      </c>
      <c r="D944" s="273" t="s">
        <v>2607</v>
      </c>
      <c r="E944" s="273" t="s">
        <v>560</v>
      </c>
      <c r="F944" s="284" t="s">
        <v>558</v>
      </c>
      <c r="G944" s="273" t="s">
        <v>560</v>
      </c>
      <c r="H944" s="273"/>
      <c r="I944" s="273" t="s">
        <v>560</v>
      </c>
      <c r="J944" s="273" t="s">
        <v>560</v>
      </c>
      <c r="K944" s="285" t="s">
        <v>558</v>
      </c>
      <c r="L944" s="283" t="s">
        <v>2619</v>
      </c>
      <c r="M944" s="285" t="s">
        <v>558</v>
      </c>
    </row>
    <row r="945" spans="2:13" x14ac:dyDescent="0.25">
      <c r="B945" s="273" t="s">
        <v>2620</v>
      </c>
      <c r="C945" s="273" t="s">
        <v>2607</v>
      </c>
      <c r="D945" s="273" t="s">
        <v>2607</v>
      </c>
      <c r="E945" s="273" t="s">
        <v>560</v>
      </c>
      <c r="F945" s="284" t="s">
        <v>558</v>
      </c>
      <c r="G945" s="273" t="s">
        <v>560</v>
      </c>
      <c r="H945" s="273"/>
      <c r="I945" s="273" t="s">
        <v>560</v>
      </c>
      <c r="J945" s="273" t="s">
        <v>560</v>
      </c>
      <c r="K945" s="285" t="s">
        <v>558</v>
      </c>
      <c r="L945" s="283" t="s">
        <v>2620</v>
      </c>
      <c r="M945" s="285" t="s">
        <v>558</v>
      </c>
    </row>
    <row r="946" spans="2:13" x14ac:dyDescent="0.25">
      <c r="B946" s="273" t="s">
        <v>2621</v>
      </c>
      <c r="C946" s="273" t="s">
        <v>2607</v>
      </c>
      <c r="D946" s="273" t="s">
        <v>2607</v>
      </c>
      <c r="E946" s="273" t="s">
        <v>560</v>
      </c>
      <c r="F946" s="284" t="s">
        <v>558</v>
      </c>
      <c r="G946" s="273" t="s">
        <v>560</v>
      </c>
      <c r="H946" s="273"/>
      <c r="I946" s="273" t="s">
        <v>560</v>
      </c>
      <c r="J946" s="273" t="s">
        <v>560</v>
      </c>
      <c r="K946" s="285" t="s">
        <v>558</v>
      </c>
      <c r="L946" s="283" t="s">
        <v>2621</v>
      </c>
      <c r="M946" s="285" t="s">
        <v>558</v>
      </c>
    </row>
    <row r="947" spans="2:13" x14ac:dyDescent="0.25">
      <c r="B947" s="273" t="s">
        <v>2622</v>
      </c>
      <c r="C947" s="273" t="s">
        <v>2607</v>
      </c>
      <c r="D947" s="273" t="s">
        <v>2607</v>
      </c>
      <c r="E947" s="273" t="s">
        <v>560</v>
      </c>
      <c r="F947" s="284" t="s">
        <v>558</v>
      </c>
      <c r="G947" s="273" t="s">
        <v>560</v>
      </c>
      <c r="H947" s="273"/>
      <c r="I947" s="273" t="s">
        <v>560</v>
      </c>
      <c r="J947" s="273" t="s">
        <v>560</v>
      </c>
      <c r="K947" s="285" t="s">
        <v>558</v>
      </c>
      <c r="L947" s="283" t="s">
        <v>2622</v>
      </c>
      <c r="M947" s="285" t="s">
        <v>558</v>
      </c>
    </row>
    <row r="948" spans="2:13" x14ac:dyDescent="0.25">
      <c r="B948" s="273" t="s">
        <v>2623</v>
      </c>
      <c r="C948" s="273" t="s">
        <v>2607</v>
      </c>
      <c r="D948" s="273" t="s">
        <v>2607</v>
      </c>
      <c r="E948" s="273" t="s">
        <v>560</v>
      </c>
      <c r="F948" s="284" t="s">
        <v>558</v>
      </c>
      <c r="G948" s="273" t="s">
        <v>560</v>
      </c>
      <c r="H948" s="273"/>
      <c r="I948" s="273" t="s">
        <v>560</v>
      </c>
      <c r="J948" s="273" t="s">
        <v>560</v>
      </c>
      <c r="K948" s="285" t="s">
        <v>558</v>
      </c>
      <c r="L948" s="283" t="s">
        <v>2623</v>
      </c>
      <c r="M948" s="285" t="s">
        <v>558</v>
      </c>
    </row>
    <row r="949" spans="2:13" x14ac:dyDescent="0.25">
      <c r="B949" s="273" t="s">
        <v>2624</v>
      </c>
      <c r="C949" s="273" t="s">
        <v>2607</v>
      </c>
      <c r="D949" s="273" t="s">
        <v>2607</v>
      </c>
      <c r="E949" s="273" t="s">
        <v>560</v>
      </c>
      <c r="F949" s="284" t="s">
        <v>558</v>
      </c>
      <c r="G949" s="273" t="s">
        <v>560</v>
      </c>
      <c r="H949" s="273"/>
      <c r="I949" s="273" t="s">
        <v>560</v>
      </c>
      <c r="J949" s="273" t="s">
        <v>560</v>
      </c>
      <c r="K949" s="285" t="s">
        <v>558</v>
      </c>
      <c r="L949" s="283" t="s">
        <v>2624</v>
      </c>
      <c r="M949" s="285" t="s">
        <v>558</v>
      </c>
    </row>
    <row r="950" spans="2:13" x14ac:dyDescent="0.25">
      <c r="B950" s="273" t="s">
        <v>2625</v>
      </c>
      <c r="C950" s="273" t="s">
        <v>2607</v>
      </c>
      <c r="D950" s="273" t="s">
        <v>2607</v>
      </c>
      <c r="E950" s="273" t="s">
        <v>560</v>
      </c>
      <c r="F950" s="284" t="s">
        <v>558</v>
      </c>
      <c r="G950" s="273" t="s">
        <v>560</v>
      </c>
      <c r="H950" s="273"/>
      <c r="I950" s="273" t="s">
        <v>560</v>
      </c>
      <c r="J950" s="273" t="s">
        <v>560</v>
      </c>
      <c r="K950" s="285" t="s">
        <v>558</v>
      </c>
      <c r="L950" s="283" t="s">
        <v>2625</v>
      </c>
      <c r="M950" s="285" t="s">
        <v>558</v>
      </c>
    </row>
    <row r="951" spans="2:13" x14ac:dyDescent="0.25">
      <c r="B951" s="273" t="s">
        <v>2626</v>
      </c>
      <c r="C951" s="273" t="s">
        <v>2607</v>
      </c>
      <c r="D951" s="273" t="s">
        <v>2607</v>
      </c>
      <c r="E951" s="273" t="s">
        <v>560</v>
      </c>
      <c r="F951" s="284" t="s">
        <v>558</v>
      </c>
      <c r="G951" s="273" t="s">
        <v>560</v>
      </c>
      <c r="H951" s="273"/>
      <c r="I951" s="273" t="s">
        <v>560</v>
      </c>
      <c r="J951" s="273" t="s">
        <v>560</v>
      </c>
      <c r="K951" s="285" t="s">
        <v>558</v>
      </c>
      <c r="L951" s="283" t="s">
        <v>2626</v>
      </c>
      <c r="M951" s="285" t="s">
        <v>558</v>
      </c>
    </row>
    <row r="952" spans="2:13" x14ac:dyDescent="0.25">
      <c r="B952" s="273" t="s">
        <v>2627</v>
      </c>
      <c r="C952" s="273" t="s">
        <v>2607</v>
      </c>
      <c r="D952" s="273" t="s">
        <v>2607</v>
      </c>
      <c r="E952" s="273" t="s">
        <v>560</v>
      </c>
      <c r="F952" s="284" t="s">
        <v>558</v>
      </c>
      <c r="G952" s="273" t="s">
        <v>560</v>
      </c>
      <c r="H952" s="273"/>
      <c r="I952" s="273" t="s">
        <v>560</v>
      </c>
      <c r="J952" s="273" t="s">
        <v>560</v>
      </c>
      <c r="K952" s="285" t="s">
        <v>558</v>
      </c>
      <c r="L952" s="283" t="s">
        <v>2627</v>
      </c>
      <c r="M952" s="285" t="s">
        <v>558</v>
      </c>
    </row>
    <row r="953" spans="2:13" x14ac:dyDescent="0.25">
      <c r="B953" s="273" t="s">
        <v>2628</v>
      </c>
      <c r="C953" s="273" t="s">
        <v>2607</v>
      </c>
      <c r="D953" s="273" t="s">
        <v>2607</v>
      </c>
      <c r="E953" s="273" t="s">
        <v>560</v>
      </c>
      <c r="F953" s="284" t="s">
        <v>558</v>
      </c>
      <c r="G953" s="273" t="s">
        <v>560</v>
      </c>
      <c r="H953" s="273"/>
      <c r="I953" s="273" t="s">
        <v>560</v>
      </c>
      <c r="J953" s="273" t="s">
        <v>560</v>
      </c>
      <c r="K953" s="285" t="s">
        <v>558</v>
      </c>
      <c r="L953" s="283" t="s">
        <v>2628</v>
      </c>
      <c r="M953" s="285" t="s">
        <v>558</v>
      </c>
    </row>
    <row r="954" spans="2:13" x14ac:dyDescent="0.25">
      <c r="B954" s="273" t="s">
        <v>2629</v>
      </c>
      <c r="C954" s="273" t="s">
        <v>2607</v>
      </c>
      <c r="D954" s="273" t="s">
        <v>2607</v>
      </c>
      <c r="E954" s="273" t="s">
        <v>560</v>
      </c>
      <c r="F954" s="284" t="s">
        <v>558</v>
      </c>
      <c r="G954" s="273" t="s">
        <v>560</v>
      </c>
      <c r="H954" s="273"/>
      <c r="I954" s="273" t="s">
        <v>560</v>
      </c>
      <c r="J954" s="273" t="s">
        <v>560</v>
      </c>
      <c r="K954" s="285" t="s">
        <v>558</v>
      </c>
      <c r="L954" s="283" t="s">
        <v>2629</v>
      </c>
      <c r="M954" s="285" t="s">
        <v>558</v>
      </c>
    </row>
    <row r="955" spans="2:13" x14ac:dyDescent="0.25">
      <c r="B955" s="273" t="s">
        <v>2630</v>
      </c>
      <c r="C955" s="273" t="s">
        <v>2607</v>
      </c>
      <c r="D955" s="273" t="s">
        <v>2607</v>
      </c>
      <c r="E955" s="273" t="s">
        <v>560</v>
      </c>
      <c r="F955" s="284" t="s">
        <v>558</v>
      </c>
      <c r="G955" s="273" t="s">
        <v>560</v>
      </c>
      <c r="H955" s="273"/>
      <c r="I955" s="273" t="s">
        <v>560</v>
      </c>
      <c r="J955" s="273" t="s">
        <v>560</v>
      </c>
      <c r="K955" s="285" t="s">
        <v>558</v>
      </c>
      <c r="L955" s="283" t="s">
        <v>2630</v>
      </c>
      <c r="M955" s="285" t="s">
        <v>558</v>
      </c>
    </row>
    <row r="956" spans="2:13" x14ac:dyDescent="0.25">
      <c r="B956" s="273" t="s">
        <v>2631</v>
      </c>
      <c r="C956" s="273" t="s">
        <v>2607</v>
      </c>
      <c r="D956" s="273" t="s">
        <v>2607</v>
      </c>
      <c r="E956" s="273" t="s">
        <v>560</v>
      </c>
      <c r="F956" s="284" t="s">
        <v>558</v>
      </c>
      <c r="G956" s="273" t="s">
        <v>560</v>
      </c>
      <c r="H956" s="273"/>
      <c r="I956" s="273" t="s">
        <v>560</v>
      </c>
      <c r="J956" s="273" t="s">
        <v>560</v>
      </c>
      <c r="K956" s="285" t="s">
        <v>558</v>
      </c>
      <c r="L956" s="283" t="s">
        <v>2631</v>
      </c>
      <c r="M956" s="285" t="s">
        <v>558</v>
      </c>
    </row>
    <row r="957" spans="2:13" x14ac:dyDescent="0.25">
      <c r="B957" s="273" t="s">
        <v>2632</v>
      </c>
      <c r="C957" s="273" t="s">
        <v>2607</v>
      </c>
      <c r="D957" s="273" t="s">
        <v>2607</v>
      </c>
      <c r="E957" s="273" t="s">
        <v>560</v>
      </c>
      <c r="F957" s="284" t="s">
        <v>558</v>
      </c>
      <c r="G957" s="273" t="s">
        <v>560</v>
      </c>
      <c r="H957" s="273"/>
      <c r="I957" s="273" t="s">
        <v>560</v>
      </c>
      <c r="J957" s="273" t="s">
        <v>560</v>
      </c>
      <c r="K957" s="285" t="s">
        <v>558</v>
      </c>
      <c r="L957" s="283" t="s">
        <v>2632</v>
      </c>
      <c r="M957" s="285" t="s">
        <v>558</v>
      </c>
    </row>
    <row r="958" spans="2:13" x14ac:dyDescent="0.25">
      <c r="B958" s="273" t="s">
        <v>2633</v>
      </c>
      <c r="C958" s="273" t="s">
        <v>2607</v>
      </c>
      <c r="D958" s="273" t="s">
        <v>2607</v>
      </c>
      <c r="E958" s="273" t="s">
        <v>560</v>
      </c>
      <c r="F958" s="284" t="s">
        <v>558</v>
      </c>
      <c r="G958" s="273" t="s">
        <v>560</v>
      </c>
      <c r="H958" s="273"/>
      <c r="I958" s="273" t="s">
        <v>560</v>
      </c>
      <c r="J958" s="273" t="s">
        <v>560</v>
      </c>
      <c r="K958" s="285" t="s">
        <v>558</v>
      </c>
      <c r="L958" s="283" t="s">
        <v>2633</v>
      </c>
      <c r="M958" s="285" t="s">
        <v>558</v>
      </c>
    </row>
    <row r="959" spans="2:13" x14ac:dyDescent="0.25">
      <c r="B959" s="273" t="s">
        <v>2634</v>
      </c>
      <c r="C959" s="273" t="s">
        <v>2607</v>
      </c>
      <c r="D959" s="273" t="s">
        <v>2607</v>
      </c>
      <c r="E959" s="273" t="s">
        <v>560</v>
      </c>
      <c r="F959" s="284" t="s">
        <v>558</v>
      </c>
      <c r="G959" s="273" t="s">
        <v>560</v>
      </c>
      <c r="H959" s="273"/>
      <c r="I959" s="273" t="s">
        <v>560</v>
      </c>
      <c r="J959" s="273" t="s">
        <v>560</v>
      </c>
      <c r="K959" s="285" t="s">
        <v>558</v>
      </c>
      <c r="L959" s="283" t="s">
        <v>2634</v>
      </c>
      <c r="M959" s="285" t="s">
        <v>558</v>
      </c>
    </row>
    <row r="960" spans="2:13" x14ac:dyDescent="0.25">
      <c r="B960" s="273" t="s">
        <v>2635</v>
      </c>
      <c r="C960" s="273" t="s">
        <v>2607</v>
      </c>
      <c r="D960" s="273" t="s">
        <v>2607</v>
      </c>
      <c r="E960" s="273" t="s">
        <v>560</v>
      </c>
      <c r="F960" s="284" t="s">
        <v>558</v>
      </c>
      <c r="G960" s="273" t="s">
        <v>560</v>
      </c>
      <c r="H960" s="273"/>
      <c r="I960" s="273" t="s">
        <v>560</v>
      </c>
      <c r="J960" s="273" t="s">
        <v>560</v>
      </c>
      <c r="K960" s="285" t="s">
        <v>558</v>
      </c>
      <c r="L960" s="283" t="s">
        <v>2635</v>
      </c>
      <c r="M960" s="285" t="s">
        <v>558</v>
      </c>
    </row>
    <row r="961" spans="2:13" x14ac:dyDescent="0.25">
      <c r="B961" s="273" t="s">
        <v>2636</v>
      </c>
      <c r="C961" s="273" t="s">
        <v>2607</v>
      </c>
      <c r="D961" s="273" t="s">
        <v>2607</v>
      </c>
      <c r="E961" s="273" t="s">
        <v>560</v>
      </c>
      <c r="F961" s="284" t="s">
        <v>558</v>
      </c>
      <c r="G961" s="273" t="s">
        <v>560</v>
      </c>
      <c r="H961" s="273"/>
      <c r="I961" s="273" t="s">
        <v>560</v>
      </c>
      <c r="J961" s="273" t="s">
        <v>560</v>
      </c>
      <c r="K961" s="285" t="s">
        <v>558</v>
      </c>
      <c r="L961" s="283" t="s">
        <v>2636</v>
      </c>
      <c r="M961" s="285" t="s">
        <v>558</v>
      </c>
    </row>
    <row r="962" spans="2:13" x14ac:dyDescent="0.25">
      <c r="B962" s="273" t="s">
        <v>2637</v>
      </c>
      <c r="C962" s="273" t="s">
        <v>2607</v>
      </c>
      <c r="D962" s="273" t="s">
        <v>2607</v>
      </c>
      <c r="E962" s="273" t="s">
        <v>560</v>
      </c>
      <c r="F962" s="284" t="s">
        <v>558</v>
      </c>
      <c r="G962" s="273" t="s">
        <v>560</v>
      </c>
      <c r="H962" s="273"/>
      <c r="I962" s="273" t="s">
        <v>560</v>
      </c>
      <c r="J962" s="273" t="s">
        <v>560</v>
      </c>
      <c r="K962" s="285" t="s">
        <v>558</v>
      </c>
      <c r="L962" s="283" t="s">
        <v>2637</v>
      </c>
      <c r="M962" s="285" t="s">
        <v>558</v>
      </c>
    </row>
    <row r="963" spans="2:13" x14ac:dyDescent="0.25">
      <c r="B963" s="273" t="s">
        <v>2638</v>
      </c>
      <c r="C963" s="273" t="s">
        <v>2607</v>
      </c>
      <c r="D963" s="273" t="s">
        <v>2607</v>
      </c>
      <c r="E963" s="273" t="s">
        <v>560</v>
      </c>
      <c r="F963" s="284" t="s">
        <v>558</v>
      </c>
      <c r="G963" s="273" t="s">
        <v>560</v>
      </c>
      <c r="H963" s="273"/>
      <c r="I963" s="273" t="s">
        <v>560</v>
      </c>
      <c r="J963" s="273" t="s">
        <v>560</v>
      </c>
      <c r="K963" s="285" t="s">
        <v>558</v>
      </c>
      <c r="L963" s="283" t="s">
        <v>2638</v>
      </c>
      <c r="M963" s="285" t="s">
        <v>558</v>
      </c>
    </row>
    <row r="964" spans="2:13" x14ac:dyDescent="0.25">
      <c r="B964" s="273" t="s">
        <v>2639</v>
      </c>
      <c r="C964" s="273" t="s">
        <v>2607</v>
      </c>
      <c r="D964" s="273" t="s">
        <v>2607</v>
      </c>
      <c r="E964" s="273" t="s">
        <v>560</v>
      </c>
      <c r="F964" s="284" t="s">
        <v>558</v>
      </c>
      <c r="G964" s="273" t="s">
        <v>560</v>
      </c>
      <c r="H964" s="273"/>
      <c r="I964" s="273" t="s">
        <v>560</v>
      </c>
      <c r="J964" s="273" t="s">
        <v>560</v>
      </c>
      <c r="K964" s="285" t="s">
        <v>558</v>
      </c>
      <c r="L964" s="283" t="s">
        <v>2639</v>
      </c>
      <c r="M964" s="285" t="s">
        <v>558</v>
      </c>
    </row>
    <row r="965" spans="2:13" x14ac:dyDescent="0.25">
      <c r="B965" s="273" t="s">
        <v>2640</v>
      </c>
      <c r="C965" s="273" t="s">
        <v>2607</v>
      </c>
      <c r="D965" s="273" t="s">
        <v>2607</v>
      </c>
      <c r="E965" s="273" t="s">
        <v>560</v>
      </c>
      <c r="F965" s="284" t="s">
        <v>558</v>
      </c>
      <c r="G965" s="273" t="s">
        <v>560</v>
      </c>
      <c r="H965" s="273"/>
      <c r="I965" s="273" t="s">
        <v>560</v>
      </c>
      <c r="J965" s="273" t="s">
        <v>560</v>
      </c>
      <c r="K965" s="285" t="s">
        <v>558</v>
      </c>
      <c r="L965" s="283" t="s">
        <v>2640</v>
      </c>
      <c r="M965" s="285" t="s">
        <v>558</v>
      </c>
    </row>
    <row r="966" spans="2:13" x14ac:dyDescent="0.25">
      <c r="B966" s="273" t="s">
        <v>2641</v>
      </c>
      <c r="C966" s="273" t="s">
        <v>2607</v>
      </c>
      <c r="D966" s="273" t="s">
        <v>2607</v>
      </c>
      <c r="E966" s="273" t="s">
        <v>560</v>
      </c>
      <c r="F966" s="284" t="s">
        <v>558</v>
      </c>
      <c r="G966" s="273" t="s">
        <v>560</v>
      </c>
      <c r="H966" s="273"/>
      <c r="I966" s="273" t="s">
        <v>560</v>
      </c>
      <c r="J966" s="273" t="s">
        <v>560</v>
      </c>
      <c r="K966" s="285" t="s">
        <v>558</v>
      </c>
      <c r="L966" s="283" t="s">
        <v>2641</v>
      </c>
      <c r="M966" s="285" t="s">
        <v>558</v>
      </c>
    </row>
    <row r="967" spans="2:13" x14ac:dyDescent="0.25">
      <c r="B967" s="273" t="s">
        <v>2642</v>
      </c>
      <c r="C967" s="273" t="s">
        <v>2607</v>
      </c>
      <c r="D967" s="273" t="s">
        <v>2607</v>
      </c>
      <c r="E967" s="273" t="s">
        <v>560</v>
      </c>
      <c r="F967" s="284" t="s">
        <v>558</v>
      </c>
      <c r="G967" s="273" t="s">
        <v>560</v>
      </c>
      <c r="H967" s="273"/>
      <c r="I967" s="273" t="s">
        <v>560</v>
      </c>
      <c r="J967" s="273" t="s">
        <v>560</v>
      </c>
      <c r="K967" s="285" t="s">
        <v>558</v>
      </c>
      <c r="L967" s="283" t="s">
        <v>2642</v>
      </c>
      <c r="M967" s="285" t="s">
        <v>558</v>
      </c>
    </row>
    <row r="968" spans="2:13" x14ac:dyDescent="0.25">
      <c r="B968" s="273" t="s">
        <v>2643</v>
      </c>
      <c r="C968" s="273" t="s">
        <v>2607</v>
      </c>
      <c r="D968" s="273" t="s">
        <v>2607</v>
      </c>
      <c r="E968" s="273" t="s">
        <v>560</v>
      </c>
      <c r="F968" s="284" t="s">
        <v>558</v>
      </c>
      <c r="G968" s="273" t="s">
        <v>560</v>
      </c>
      <c r="H968" s="273"/>
      <c r="I968" s="273" t="s">
        <v>560</v>
      </c>
      <c r="J968" s="273" t="s">
        <v>560</v>
      </c>
      <c r="K968" s="285" t="s">
        <v>558</v>
      </c>
      <c r="L968" s="283" t="s">
        <v>2643</v>
      </c>
      <c r="M968" s="285" t="s">
        <v>558</v>
      </c>
    </row>
    <row r="969" spans="2:13" x14ac:dyDescent="0.25">
      <c r="B969" s="273" t="s">
        <v>2644</v>
      </c>
      <c r="C969" s="273" t="s">
        <v>2607</v>
      </c>
      <c r="D969" s="273" t="s">
        <v>2607</v>
      </c>
      <c r="E969" s="273" t="s">
        <v>560</v>
      </c>
      <c r="F969" s="284" t="s">
        <v>558</v>
      </c>
      <c r="G969" s="273" t="s">
        <v>560</v>
      </c>
      <c r="H969" s="273"/>
      <c r="I969" s="273" t="s">
        <v>560</v>
      </c>
      <c r="J969" s="273" t="s">
        <v>560</v>
      </c>
      <c r="K969" s="285" t="s">
        <v>558</v>
      </c>
      <c r="L969" s="283" t="s">
        <v>2644</v>
      </c>
      <c r="M969" s="285" t="s">
        <v>558</v>
      </c>
    </row>
    <row r="970" spans="2:13" x14ac:dyDescent="0.25">
      <c r="B970" s="273" t="s">
        <v>2645</v>
      </c>
      <c r="C970" s="273" t="s">
        <v>2607</v>
      </c>
      <c r="D970" s="273" t="s">
        <v>2607</v>
      </c>
      <c r="E970" s="273" t="s">
        <v>560</v>
      </c>
      <c r="F970" s="284" t="s">
        <v>558</v>
      </c>
      <c r="G970" s="273" t="s">
        <v>560</v>
      </c>
      <c r="H970" s="273"/>
      <c r="I970" s="273" t="s">
        <v>560</v>
      </c>
      <c r="J970" s="273" t="s">
        <v>560</v>
      </c>
      <c r="K970" s="285" t="s">
        <v>558</v>
      </c>
      <c r="L970" s="283" t="s">
        <v>2645</v>
      </c>
      <c r="M970" s="285" t="s">
        <v>558</v>
      </c>
    </row>
    <row r="971" spans="2:13" x14ac:dyDescent="0.25">
      <c r="B971" s="273" t="s">
        <v>2646</v>
      </c>
      <c r="C971" s="273" t="s">
        <v>2607</v>
      </c>
      <c r="D971" s="273" t="s">
        <v>2607</v>
      </c>
      <c r="E971" s="273" t="s">
        <v>560</v>
      </c>
      <c r="F971" s="284" t="s">
        <v>558</v>
      </c>
      <c r="G971" s="273" t="s">
        <v>560</v>
      </c>
      <c r="H971" s="273"/>
      <c r="I971" s="273" t="s">
        <v>560</v>
      </c>
      <c r="J971" s="273" t="s">
        <v>560</v>
      </c>
      <c r="K971" s="285" t="s">
        <v>558</v>
      </c>
      <c r="L971" s="283" t="s">
        <v>2646</v>
      </c>
      <c r="M971" s="285" t="s">
        <v>558</v>
      </c>
    </row>
    <row r="972" spans="2:13" x14ac:dyDescent="0.25">
      <c r="B972" s="273" t="s">
        <v>2647</v>
      </c>
      <c r="C972" s="273" t="s">
        <v>2607</v>
      </c>
      <c r="D972" s="273" t="s">
        <v>2607</v>
      </c>
      <c r="E972" s="273" t="s">
        <v>560</v>
      </c>
      <c r="F972" s="284" t="s">
        <v>558</v>
      </c>
      <c r="G972" s="273" t="s">
        <v>560</v>
      </c>
      <c r="H972" s="273"/>
      <c r="I972" s="273" t="s">
        <v>560</v>
      </c>
      <c r="J972" s="273" t="s">
        <v>560</v>
      </c>
      <c r="K972" s="285" t="s">
        <v>558</v>
      </c>
      <c r="L972" s="283" t="s">
        <v>2647</v>
      </c>
      <c r="M972" s="285" t="s">
        <v>558</v>
      </c>
    </row>
    <row r="973" spans="2:13" x14ac:dyDescent="0.25">
      <c r="B973" s="273" t="s">
        <v>2648</v>
      </c>
      <c r="C973" s="273" t="s">
        <v>2607</v>
      </c>
      <c r="D973" s="273" t="s">
        <v>2607</v>
      </c>
      <c r="E973" s="273" t="s">
        <v>560</v>
      </c>
      <c r="F973" s="284" t="s">
        <v>558</v>
      </c>
      <c r="G973" s="273" t="s">
        <v>560</v>
      </c>
      <c r="H973" s="273"/>
      <c r="I973" s="273" t="s">
        <v>560</v>
      </c>
      <c r="J973" s="273" t="s">
        <v>560</v>
      </c>
      <c r="K973" s="285" t="s">
        <v>558</v>
      </c>
      <c r="L973" s="283" t="s">
        <v>2648</v>
      </c>
      <c r="M973" s="285" t="s">
        <v>558</v>
      </c>
    </row>
    <row r="974" spans="2:13" x14ac:dyDescent="0.25">
      <c r="B974" s="273" t="s">
        <v>2649</v>
      </c>
      <c r="C974" s="273" t="s">
        <v>2607</v>
      </c>
      <c r="D974" s="273" t="s">
        <v>2607</v>
      </c>
      <c r="E974" s="273" t="s">
        <v>560</v>
      </c>
      <c r="F974" s="284" t="s">
        <v>558</v>
      </c>
      <c r="G974" s="273" t="s">
        <v>560</v>
      </c>
      <c r="H974" s="273"/>
      <c r="I974" s="273" t="s">
        <v>560</v>
      </c>
      <c r="J974" s="273" t="s">
        <v>560</v>
      </c>
      <c r="K974" s="285" t="s">
        <v>558</v>
      </c>
      <c r="L974" s="283" t="s">
        <v>2649</v>
      </c>
      <c r="M974" s="285" t="s">
        <v>558</v>
      </c>
    </row>
    <row r="975" spans="2:13" x14ac:dyDescent="0.25">
      <c r="B975" s="273" t="s">
        <v>2650</v>
      </c>
      <c r="C975" s="273" t="s">
        <v>2607</v>
      </c>
      <c r="D975" s="273" t="s">
        <v>2607</v>
      </c>
      <c r="E975" s="273" t="s">
        <v>560</v>
      </c>
      <c r="F975" s="284" t="s">
        <v>558</v>
      </c>
      <c r="G975" s="273" t="s">
        <v>560</v>
      </c>
      <c r="H975" s="273"/>
      <c r="I975" s="273" t="s">
        <v>560</v>
      </c>
      <c r="J975" s="273" t="s">
        <v>560</v>
      </c>
      <c r="K975" s="285" t="s">
        <v>558</v>
      </c>
      <c r="L975" s="283" t="s">
        <v>2650</v>
      </c>
      <c r="M975" s="285" t="s">
        <v>558</v>
      </c>
    </row>
    <row r="976" spans="2:13" x14ac:dyDescent="0.25">
      <c r="B976" s="273" t="s">
        <v>2651</v>
      </c>
      <c r="C976" s="273" t="s">
        <v>2607</v>
      </c>
      <c r="D976" s="273" t="s">
        <v>2607</v>
      </c>
      <c r="E976" s="273" t="s">
        <v>560</v>
      </c>
      <c r="F976" s="284" t="s">
        <v>558</v>
      </c>
      <c r="G976" s="273" t="s">
        <v>560</v>
      </c>
      <c r="H976" s="273"/>
      <c r="I976" s="273" t="s">
        <v>560</v>
      </c>
      <c r="J976" s="273" t="s">
        <v>560</v>
      </c>
      <c r="K976" s="285" t="s">
        <v>558</v>
      </c>
      <c r="L976" s="283" t="s">
        <v>2651</v>
      </c>
      <c r="M976" s="285" t="s">
        <v>558</v>
      </c>
    </row>
    <row r="977" spans="2:13" x14ac:dyDescent="0.25">
      <c r="B977" s="273" t="s">
        <v>2652</v>
      </c>
      <c r="C977" s="273" t="s">
        <v>2607</v>
      </c>
      <c r="D977" s="273" t="s">
        <v>2607</v>
      </c>
      <c r="E977" s="273" t="s">
        <v>560</v>
      </c>
      <c r="F977" s="284" t="s">
        <v>558</v>
      </c>
      <c r="G977" s="273" t="s">
        <v>560</v>
      </c>
      <c r="H977" s="273"/>
      <c r="I977" s="273" t="s">
        <v>560</v>
      </c>
      <c r="J977" s="273" t="s">
        <v>560</v>
      </c>
      <c r="K977" s="285" t="s">
        <v>558</v>
      </c>
      <c r="L977" s="283" t="s">
        <v>2652</v>
      </c>
      <c r="M977" s="285" t="s">
        <v>558</v>
      </c>
    </row>
    <row r="978" spans="2:13" x14ac:dyDescent="0.25">
      <c r="B978" s="273" t="s">
        <v>2653</v>
      </c>
      <c r="C978" s="273" t="s">
        <v>2607</v>
      </c>
      <c r="D978" s="273" t="s">
        <v>2607</v>
      </c>
      <c r="E978" s="273" t="s">
        <v>560</v>
      </c>
      <c r="F978" s="284" t="s">
        <v>558</v>
      </c>
      <c r="G978" s="273" t="s">
        <v>560</v>
      </c>
      <c r="H978" s="273"/>
      <c r="I978" s="273" t="s">
        <v>560</v>
      </c>
      <c r="J978" s="273" t="s">
        <v>560</v>
      </c>
      <c r="K978" s="285" t="s">
        <v>558</v>
      </c>
      <c r="L978" s="283" t="s">
        <v>2653</v>
      </c>
      <c r="M978" s="285" t="s">
        <v>558</v>
      </c>
    </row>
    <row r="979" spans="2:13" x14ac:dyDescent="0.25">
      <c r="B979" s="273" t="s">
        <v>2654</v>
      </c>
      <c r="C979" s="273" t="s">
        <v>2607</v>
      </c>
      <c r="D979" s="273" t="s">
        <v>2607</v>
      </c>
      <c r="E979" s="273" t="s">
        <v>560</v>
      </c>
      <c r="F979" s="284" t="s">
        <v>558</v>
      </c>
      <c r="G979" s="273" t="s">
        <v>560</v>
      </c>
      <c r="H979" s="273"/>
      <c r="I979" s="273" t="s">
        <v>560</v>
      </c>
      <c r="J979" s="273" t="s">
        <v>560</v>
      </c>
      <c r="K979" s="285" t="s">
        <v>558</v>
      </c>
      <c r="L979" s="283" t="s">
        <v>2654</v>
      </c>
      <c r="M979" s="285" t="s">
        <v>558</v>
      </c>
    </row>
    <row r="980" spans="2:13" x14ac:dyDescent="0.25">
      <c r="B980" s="273" t="s">
        <v>2655</v>
      </c>
      <c r="C980" s="273" t="s">
        <v>2607</v>
      </c>
      <c r="D980" s="273" t="s">
        <v>2607</v>
      </c>
      <c r="E980" s="273" t="s">
        <v>560</v>
      </c>
      <c r="F980" s="284" t="s">
        <v>558</v>
      </c>
      <c r="G980" s="273" t="s">
        <v>560</v>
      </c>
      <c r="H980" s="273"/>
      <c r="I980" s="273" t="s">
        <v>560</v>
      </c>
      <c r="J980" s="273" t="s">
        <v>560</v>
      </c>
      <c r="K980" s="285" t="s">
        <v>558</v>
      </c>
      <c r="L980" s="283" t="s">
        <v>2655</v>
      </c>
      <c r="M980" s="285" t="s">
        <v>558</v>
      </c>
    </row>
    <row r="981" spans="2:13" x14ac:dyDescent="0.25">
      <c r="B981" s="273" t="s">
        <v>2656</v>
      </c>
      <c r="C981" s="273" t="s">
        <v>2607</v>
      </c>
      <c r="D981" s="273" t="s">
        <v>2607</v>
      </c>
      <c r="E981" s="273" t="s">
        <v>560</v>
      </c>
      <c r="F981" s="284" t="s">
        <v>558</v>
      </c>
      <c r="G981" s="273" t="s">
        <v>560</v>
      </c>
      <c r="H981" s="273"/>
      <c r="I981" s="273" t="s">
        <v>560</v>
      </c>
      <c r="J981" s="273" t="s">
        <v>560</v>
      </c>
      <c r="K981" s="285" t="s">
        <v>558</v>
      </c>
      <c r="L981" s="283" t="s">
        <v>2656</v>
      </c>
      <c r="M981" s="285" t="s">
        <v>558</v>
      </c>
    </row>
    <row r="982" spans="2:13" x14ac:dyDescent="0.25">
      <c r="B982" s="273" t="s">
        <v>2928</v>
      </c>
      <c r="C982" s="273" t="s">
        <v>2927</v>
      </c>
      <c r="D982" s="273" t="s">
        <v>2932</v>
      </c>
      <c r="E982" s="273" t="s">
        <v>560</v>
      </c>
      <c r="F982" s="277" t="s">
        <v>2933</v>
      </c>
      <c r="G982" s="273" t="s">
        <v>560</v>
      </c>
      <c r="H982" s="278">
        <f t="shared" ref="H982:H987" si="18">MID(B982,2,1)*12</f>
        <v>24</v>
      </c>
      <c r="I982" s="273">
        <v>6</v>
      </c>
      <c r="J982" s="273">
        <v>17</v>
      </c>
      <c r="K982" s="273">
        <f t="shared" ref="K982:K987" si="19">ROUND(I982*J982*0.85,0)</f>
        <v>87</v>
      </c>
      <c r="L982" s="273" t="s">
        <v>560</v>
      </c>
      <c r="M982" s="273" t="s">
        <v>501</v>
      </c>
    </row>
    <row r="983" spans="2:13" x14ac:dyDescent="0.25">
      <c r="B983" s="273" t="s">
        <v>2939</v>
      </c>
      <c r="C983" s="273" t="s">
        <v>2927</v>
      </c>
      <c r="D983" s="273" t="s">
        <v>2932</v>
      </c>
      <c r="E983" s="273" t="s">
        <v>560</v>
      </c>
      <c r="F983" s="277" t="s">
        <v>2940</v>
      </c>
      <c r="G983" s="273" t="s">
        <v>560</v>
      </c>
      <c r="H983" s="278">
        <f t="shared" si="18"/>
        <v>36</v>
      </c>
      <c r="I983" s="273">
        <v>6</v>
      </c>
      <c r="J983" s="273">
        <v>25</v>
      </c>
      <c r="K983" s="273">
        <f t="shared" si="19"/>
        <v>128</v>
      </c>
      <c r="L983" s="273" t="s">
        <v>560</v>
      </c>
      <c r="M983" s="273" t="s">
        <v>501</v>
      </c>
    </row>
    <row r="984" spans="2:13" x14ac:dyDescent="0.25">
      <c r="B984" s="273" t="s">
        <v>2929</v>
      </c>
      <c r="C984" s="273" t="s">
        <v>2927</v>
      </c>
      <c r="D984" s="273" t="s">
        <v>2932</v>
      </c>
      <c r="E984" s="273" t="s">
        <v>560</v>
      </c>
      <c r="F984" s="277" t="s">
        <v>2934</v>
      </c>
      <c r="G984" s="273" t="s">
        <v>560</v>
      </c>
      <c r="H984" s="278">
        <f t="shared" si="18"/>
        <v>72</v>
      </c>
      <c r="I984" s="273">
        <v>1</v>
      </c>
      <c r="J984" s="273">
        <v>65</v>
      </c>
      <c r="K984" s="273">
        <f t="shared" si="19"/>
        <v>55</v>
      </c>
      <c r="L984" s="273" t="s">
        <v>560</v>
      </c>
      <c r="M984" s="273" t="s">
        <v>501</v>
      </c>
    </row>
    <row r="985" spans="2:13" x14ac:dyDescent="0.25">
      <c r="B985" s="273" t="s">
        <v>2937</v>
      </c>
      <c r="C985" s="273" t="s">
        <v>2927</v>
      </c>
      <c r="D985" s="273" t="s">
        <v>2932</v>
      </c>
      <c r="E985" s="273" t="s">
        <v>560</v>
      </c>
      <c r="F985" s="277" t="s">
        <v>2938</v>
      </c>
      <c r="G985" s="273" t="s">
        <v>560</v>
      </c>
      <c r="H985" s="278">
        <f t="shared" si="18"/>
        <v>72</v>
      </c>
      <c r="I985" s="273">
        <v>2</v>
      </c>
      <c r="J985" s="273">
        <v>65</v>
      </c>
      <c r="K985" s="273">
        <f t="shared" si="19"/>
        <v>111</v>
      </c>
      <c r="L985" s="273" t="s">
        <v>560</v>
      </c>
      <c r="M985" s="273" t="s">
        <v>501</v>
      </c>
    </row>
    <row r="986" spans="2:13" x14ac:dyDescent="0.25">
      <c r="B986" s="273" t="s">
        <v>2930</v>
      </c>
      <c r="C986" s="273" t="s">
        <v>2927</v>
      </c>
      <c r="D986" s="273" t="s">
        <v>2932</v>
      </c>
      <c r="E986" s="273" t="s">
        <v>560</v>
      </c>
      <c r="F986" s="277" t="s">
        <v>2935</v>
      </c>
      <c r="G986" s="273" t="s">
        <v>560</v>
      </c>
      <c r="H986" s="278">
        <f t="shared" si="18"/>
        <v>72</v>
      </c>
      <c r="I986" s="273">
        <v>3</v>
      </c>
      <c r="J986" s="273">
        <v>65</v>
      </c>
      <c r="K986" s="273">
        <f t="shared" si="19"/>
        <v>166</v>
      </c>
      <c r="L986" s="273" t="s">
        <v>560</v>
      </c>
      <c r="M986" s="273" t="s">
        <v>501</v>
      </c>
    </row>
    <row r="987" spans="2:13" x14ac:dyDescent="0.25">
      <c r="B987" s="273" t="s">
        <v>2931</v>
      </c>
      <c r="C987" s="273" t="s">
        <v>2927</v>
      </c>
      <c r="D987" s="273" t="s">
        <v>2932</v>
      </c>
      <c r="E987" s="273" t="s">
        <v>560</v>
      </c>
      <c r="F987" s="277" t="s">
        <v>2936</v>
      </c>
      <c r="G987" s="273" t="s">
        <v>560</v>
      </c>
      <c r="H987" s="278">
        <f t="shared" si="18"/>
        <v>72</v>
      </c>
      <c r="I987" s="273">
        <v>4</v>
      </c>
      <c r="J987" s="273">
        <v>65</v>
      </c>
      <c r="K987" s="273">
        <f t="shared" si="19"/>
        <v>221</v>
      </c>
      <c r="L987" s="273" t="s">
        <v>560</v>
      </c>
      <c r="M987" s="273" t="s">
        <v>501</v>
      </c>
    </row>
    <row r="988" spans="2:13" x14ac:dyDescent="0.25">
      <c r="B988" s="273" t="s">
        <v>2942</v>
      </c>
      <c r="C988" s="273" t="s">
        <v>2927</v>
      </c>
      <c r="D988" s="273" t="s">
        <v>2932</v>
      </c>
      <c r="E988" s="273" t="s">
        <v>560</v>
      </c>
      <c r="F988" s="277" t="s">
        <v>2944</v>
      </c>
      <c r="G988" s="273" t="s">
        <v>560</v>
      </c>
      <c r="H988" s="273">
        <v>96</v>
      </c>
      <c r="I988" s="273">
        <v>3</v>
      </c>
      <c r="J988" s="273">
        <v>86</v>
      </c>
      <c r="K988" s="273">
        <f>ROUND(I988*J988*0.98,0)</f>
        <v>253</v>
      </c>
      <c r="L988" s="273" t="s">
        <v>560</v>
      </c>
      <c r="M988" s="273" t="s">
        <v>501</v>
      </c>
    </row>
    <row r="989" spans="2:13" x14ac:dyDescent="0.25">
      <c r="B989" s="273" t="s">
        <v>2943</v>
      </c>
      <c r="C989" s="273" t="s">
        <v>2927</v>
      </c>
      <c r="D989" s="273" t="s">
        <v>2932</v>
      </c>
      <c r="E989" s="273" t="s">
        <v>560</v>
      </c>
      <c r="F989" s="277" t="s">
        <v>2945</v>
      </c>
      <c r="G989" s="273" t="s">
        <v>560</v>
      </c>
      <c r="H989" s="273">
        <v>96</v>
      </c>
      <c r="I989" s="273">
        <v>6</v>
      </c>
      <c r="J989" s="273">
        <v>86</v>
      </c>
      <c r="K989" s="273">
        <f>ROUND(I989*J989*0.98,0)</f>
        <v>506</v>
      </c>
      <c r="L989" s="273" t="s">
        <v>560</v>
      </c>
      <c r="M989" s="273" t="s">
        <v>501</v>
      </c>
    </row>
  </sheetData>
  <sheetProtection password="C2D4" sheet="1" objects="1" scenarios="1" autoFilter="0"/>
  <autoFilter ref="B8:M989"/>
  <sortState ref="B972:M979">
    <sortCondition ref="B972"/>
  </sortState>
  <mergeCells count="3">
    <mergeCell ref="B1:M1"/>
    <mergeCell ref="B5:M6"/>
    <mergeCell ref="B7:E7"/>
  </mergeCells>
  <conditionalFormatting sqref="I25:I28 I9:I14">
    <cfRule type="cellIs" dxfId="3" priority="3" operator="equal">
      <formula>"Edit"</formula>
    </cfRule>
  </conditionalFormatting>
  <conditionalFormatting sqref="I20:I24">
    <cfRule type="cellIs" dxfId="2" priority="2" operator="equal">
      <formula>"Edit"</formula>
    </cfRule>
  </conditionalFormatting>
  <conditionalFormatting sqref="I15:I19">
    <cfRule type="cellIs" dxfId="1" priority="1" operator="equal">
      <formula>"Edit"</formula>
    </cfRule>
  </conditionalFormatting>
  <dataValidations count="6">
    <dataValidation allowBlank="1" showInputMessage="1" showErrorMessage="1" prompt="Input number of lamps per fixture." sqref="I9:I28"/>
    <dataValidation allowBlank="1" showInputMessage="1" showErrorMessage="1" prompt="Input fixture description to match submitted cut sheets." sqref="F932:F981"/>
    <dataValidation allowBlank="1" showInputMessage="1" showErrorMessage="1" prompt="Input total fixture wattage." sqref="K932:K981"/>
    <dataValidation type="whole" allowBlank="1" showInputMessage="1" showErrorMessage="1" prompt="Input total fixture wattage." sqref="K9:K28">
      <formula1>0</formula1>
      <formula2>1500</formula2>
    </dataValidation>
    <dataValidation type="list" allowBlank="1" showInputMessage="1" showErrorMessage="1" sqref="M932:M981">
      <formula1>"General,Screw-In"</formula1>
    </dataValidation>
    <dataValidation allowBlank="1" showDropDown="1" showErrorMessage="1" prompt="Choose a fixture code that represents the mandated baseline to which this fixture will be compared." sqref="L932:L981"/>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LED category that best describes the fixture in question.">
          <x14:formula1>
            <xm:f>Lookups!$V$8:$V$14</xm:f>
          </x14:formula1>
          <xm:sqref>F9:F28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K38"/>
  <sheetViews>
    <sheetView showGridLines="0" zoomScale="90" zoomScaleNormal="90" workbookViewId="0">
      <pane ySplit="3" topLeftCell="A4" activePane="bottomLeft" state="frozen"/>
      <selection activeCell="D37" sqref="D37:N37"/>
      <selection pane="bottomLeft" activeCell="L41" sqref="L41"/>
    </sheetView>
  </sheetViews>
  <sheetFormatPr defaultRowHeight="15.75" x14ac:dyDescent="0.25"/>
  <cols>
    <col min="1" max="2" width="3.7109375" style="204" customWidth="1"/>
    <col min="3" max="3" width="19.85546875" style="204" bestFit="1" customWidth="1"/>
    <col min="4" max="5" width="17.7109375" style="204" customWidth="1"/>
    <col min="6" max="6" width="3.7109375" style="204" customWidth="1"/>
    <col min="7" max="7" width="14.7109375" style="204" customWidth="1"/>
    <col min="8" max="8" width="17.7109375" style="204" customWidth="1"/>
    <col min="9" max="10" width="3.7109375" style="204" customWidth="1"/>
    <col min="11" max="11" width="9.140625" style="204"/>
    <col min="12" max="16384" width="9.140625" style="168"/>
  </cols>
  <sheetData>
    <row r="1" spans="1:11" ht="15" customHeight="1" x14ac:dyDescent="0.25"/>
    <row r="2" spans="1:11" s="27" customFormat="1" ht="22.5" x14ac:dyDescent="0.25">
      <c r="A2" s="2"/>
      <c r="B2" s="3" t="s">
        <v>0</v>
      </c>
      <c r="C2" s="4"/>
      <c r="D2" s="4"/>
      <c r="E2" s="4"/>
      <c r="F2" s="4"/>
      <c r="G2" s="4"/>
      <c r="H2" s="4"/>
      <c r="I2" s="4"/>
      <c r="J2" s="4"/>
      <c r="K2" s="4"/>
    </row>
    <row r="3" spans="1:11" s="83" customFormat="1" ht="17.25" x14ac:dyDescent="0.25">
      <c r="A3" s="5"/>
      <c r="B3" s="7" t="s">
        <v>2657</v>
      </c>
      <c r="C3" s="6"/>
      <c r="D3" s="6"/>
      <c r="E3" s="6"/>
      <c r="F3" s="6"/>
      <c r="G3" s="6"/>
      <c r="H3" s="6"/>
      <c r="I3" s="6"/>
      <c r="J3" s="6"/>
      <c r="K3" s="6"/>
    </row>
    <row r="4" spans="1:11" ht="9.75" customHeight="1" thickBot="1" x14ac:dyDescent="0.3">
      <c r="A4" s="233"/>
      <c r="B4" s="233"/>
      <c r="C4" s="233"/>
      <c r="D4" s="233"/>
      <c r="E4" s="233"/>
      <c r="F4" s="233"/>
      <c r="G4" s="233"/>
      <c r="H4" s="233"/>
      <c r="I4" s="233"/>
      <c r="J4" s="233"/>
      <c r="K4" s="233"/>
    </row>
    <row r="5" spans="1:11" ht="15.75" customHeight="1" x14ac:dyDescent="0.25">
      <c r="A5" s="233"/>
      <c r="B5" s="465" t="s">
        <v>472</v>
      </c>
      <c r="C5" s="466"/>
      <c r="D5" s="466"/>
      <c r="E5" s="466"/>
      <c r="F5" s="466"/>
      <c r="G5" s="466"/>
      <c r="H5" s="466"/>
      <c r="I5" s="467"/>
      <c r="J5" s="233"/>
      <c r="K5" s="233"/>
    </row>
    <row r="6" spans="1:11" ht="16.5" customHeight="1" thickBot="1" x14ac:dyDescent="0.3">
      <c r="B6" s="468"/>
      <c r="C6" s="469"/>
      <c r="D6" s="469"/>
      <c r="E6" s="469"/>
      <c r="F6" s="469"/>
      <c r="G6" s="469"/>
      <c r="H6" s="469"/>
      <c r="I6" s="470"/>
    </row>
    <row r="7" spans="1:11" ht="15" x14ac:dyDescent="0.25">
      <c r="A7" s="193"/>
      <c r="B7" s="290"/>
      <c r="C7" s="291"/>
      <c r="D7" s="291"/>
      <c r="E7" s="291"/>
      <c r="F7" s="291"/>
      <c r="G7" s="291"/>
      <c r="H7" s="291"/>
      <c r="I7" s="292"/>
      <c r="J7" s="193"/>
      <c r="K7" s="193"/>
    </row>
    <row r="8" spans="1:11" ht="15" x14ac:dyDescent="0.25">
      <c r="A8" s="193"/>
      <c r="B8" s="293"/>
      <c r="C8" s="294" t="s">
        <v>474</v>
      </c>
      <c r="D8" s="584" t="str">
        <f>IF('General Information'!D13="","",'General Information'!D13)</f>
        <v/>
      </c>
      <c r="E8" s="584"/>
      <c r="F8" s="295"/>
      <c r="G8" s="294" t="s">
        <v>493</v>
      </c>
      <c r="H8" s="296" t="str">
        <f>IF('General Information'!D24="","",'General Information'!D24)</f>
        <v/>
      </c>
      <c r="I8" s="297" t="s">
        <v>2659</v>
      </c>
      <c r="J8" s="289" t="s">
        <v>2659</v>
      </c>
      <c r="K8" s="193"/>
    </row>
    <row r="9" spans="1:11" ht="15" x14ac:dyDescent="0.25">
      <c r="A9" s="193"/>
      <c r="B9" s="293"/>
      <c r="C9" s="294" t="s">
        <v>2660</v>
      </c>
      <c r="D9" s="585" t="str">
        <f>IF('General Information'!D19="","",'General Information'!D19)</f>
        <v/>
      </c>
      <c r="E9" s="585"/>
      <c r="F9" s="295"/>
      <c r="G9" s="294" t="s">
        <v>2661</v>
      </c>
      <c r="H9" s="296" t="str">
        <f>IF('General Information'!D23="","",'General Information'!D23)</f>
        <v/>
      </c>
      <c r="I9" s="297" t="s">
        <v>2659</v>
      </c>
      <c r="J9" s="289" t="s">
        <v>2659</v>
      </c>
      <c r="K9" s="193"/>
    </row>
    <row r="10" spans="1:11" ht="15" x14ac:dyDescent="0.25">
      <c r="A10" s="193"/>
      <c r="B10" s="293"/>
      <c r="C10" s="294" t="s">
        <v>478</v>
      </c>
      <c r="D10" s="585" t="str">
        <f>IF('General Information'!D16="","",'General Information'!D16)</f>
        <v/>
      </c>
      <c r="E10" s="585"/>
      <c r="F10" s="295"/>
      <c r="G10" s="294" t="s">
        <v>2662</v>
      </c>
      <c r="H10" s="385" t="str">
        <f>IF('General Information'!D25="","",'General Information'!D25)</f>
        <v/>
      </c>
      <c r="I10" s="298"/>
      <c r="J10" s="193"/>
      <c r="K10" s="193"/>
    </row>
    <row r="11" spans="1:11" ht="15" x14ac:dyDescent="0.25">
      <c r="A11" s="193"/>
      <c r="B11" s="293"/>
      <c r="C11" s="295"/>
      <c r="D11" s="585" t="str">
        <f>IF('General Information'!D17="","",CONCATENATE('General Information'!D17,", ",'General Information'!H17," ",'General Information'!J17))</f>
        <v/>
      </c>
      <c r="E11" s="585"/>
      <c r="F11" s="295"/>
      <c r="G11" s="294" t="s">
        <v>495</v>
      </c>
      <c r="H11" s="296" t="str">
        <f>IF('General Information'!I25="","",'General Information'!I25)</f>
        <v/>
      </c>
      <c r="I11" s="298"/>
      <c r="J11" s="193"/>
      <c r="K11" s="193"/>
    </row>
    <row r="12" spans="1:11" thickBot="1" x14ac:dyDescent="0.3">
      <c r="A12" s="193"/>
      <c r="B12" s="299"/>
      <c r="C12" s="300"/>
      <c r="D12" s="300"/>
      <c r="E12" s="300"/>
      <c r="F12" s="300"/>
      <c r="G12" s="300"/>
      <c r="H12" s="300"/>
      <c r="I12" s="301"/>
      <c r="J12" s="193"/>
      <c r="K12" s="193"/>
    </row>
    <row r="13" spans="1:11" thickBot="1" x14ac:dyDescent="0.3">
      <c r="A13" s="193"/>
      <c r="B13" s="193"/>
      <c r="C13" s="193"/>
      <c r="D13" s="193"/>
      <c r="E13" s="193"/>
      <c r="F13" s="193"/>
      <c r="G13" s="193"/>
      <c r="H13" s="193"/>
      <c r="I13" s="193"/>
      <c r="J13" s="193"/>
      <c r="K13" s="193"/>
    </row>
    <row r="14" spans="1:11" ht="15" x14ac:dyDescent="0.25">
      <c r="A14" s="193"/>
      <c r="B14" s="465" t="s">
        <v>2663</v>
      </c>
      <c r="C14" s="466"/>
      <c r="D14" s="466"/>
      <c r="E14" s="466"/>
      <c r="F14" s="466"/>
      <c r="G14" s="466"/>
      <c r="H14" s="466"/>
      <c r="I14" s="467"/>
      <c r="J14" s="193"/>
      <c r="K14" s="193"/>
    </row>
    <row r="15" spans="1:11" thickBot="1" x14ac:dyDescent="0.3">
      <c r="A15" s="193"/>
      <c r="B15" s="468"/>
      <c r="C15" s="469"/>
      <c r="D15" s="469"/>
      <c r="E15" s="469"/>
      <c r="F15" s="469"/>
      <c r="G15" s="469"/>
      <c r="H15" s="469"/>
      <c r="I15" s="470"/>
      <c r="J15" s="193"/>
      <c r="K15" s="193"/>
    </row>
    <row r="16" spans="1:11" ht="15" x14ac:dyDescent="0.25">
      <c r="A16" s="193"/>
      <c r="B16" s="290"/>
      <c r="C16" s="291"/>
      <c r="D16" s="291"/>
      <c r="E16" s="291"/>
      <c r="F16" s="291"/>
      <c r="G16" s="291"/>
      <c r="H16" s="291"/>
      <c r="I16" s="292"/>
      <c r="J16" s="193"/>
      <c r="K16" s="193"/>
    </row>
    <row r="17" spans="1:11" ht="15" x14ac:dyDescent="0.25">
      <c r="A17" s="193"/>
      <c r="B17" s="293"/>
      <c r="C17" s="581"/>
      <c r="D17" s="582" t="s">
        <v>2664</v>
      </c>
      <c r="E17" s="582" t="s">
        <v>2665</v>
      </c>
      <c r="F17" s="582" t="s">
        <v>2666</v>
      </c>
      <c r="G17" s="582"/>
      <c r="H17" s="583"/>
      <c r="I17" s="298"/>
      <c r="J17" s="193"/>
      <c r="K17" s="193"/>
    </row>
    <row r="18" spans="1:11" ht="15" x14ac:dyDescent="0.25">
      <c r="A18" s="193"/>
      <c r="B18" s="293"/>
      <c r="C18" s="581"/>
      <c r="D18" s="582"/>
      <c r="E18" s="582"/>
      <c r="F18" s="582"/>
      <c r="G18" s="582"/>
      <c r="H18" s="583"/>
      <c r="I18" s="298"/>
      <c r="J18" s="193"/>
      <c r="K18" s="193"/>
    </row>
    <row r="19" spans="1:11" ht="15" x14ac:dyDescent="0.25">
      <c r="A19" s="193"/>
      <c r="B19" s="293"/>
      <c r="C19" s="74" t="s">
        <v>2667</v>
      </c>
      <c r="D19" s="75">
        <f>'Lighting Inventory'!Z7</f>
        <v>0</v>
      </c>
      <c r="E19" s="75">
        <f>'Lighting Inventory'!AA7</f>
        <v>0</v>
      </c>
      <c r="F19" s="578">
        <f>'Lighting Inventory'!AB7</f>
        <v>0</v>
      </c>
      <c r="G19" s="578"/>
      <c r="H19" s="302"/>
      <c r="I19" s="298"/>
      <c r="J19" s="193"/>
      <c r="K19" s="193"/>
    </row>
    <row r="20" spans="1:11" ht="15" x14ac:dyDescent="0.25">
      <c r="A20" s="193"/>
      <c r="B20" s="293"/>
      <c r="C20" s="74" t="s">
        <v>2668</v>
      </c>
      <c r="D20" s="76" t="s">
        <v>296</v>
      </c>
      <c r="E20" s="75">
        <f>'Lighting Inventory'!AC7</f>
        <v>0</v>
      </c>
      <c r="F20" s="578">
        <f>'Lighting Inventory'!AD7</f>
        <v>0</v>
      </c>
      <c r="G20" s="578"/>
      <c r="H20" s="302"/>
      <c r="I20" s="298"/>
      <c r="J20" s="193"/>
      <c r="K20" s="193"/>
    </row>
    <row r="21" spans="1:11" x14ac:dyDescent="0.25">
      <c r="A21" s="193"/>
      <c r="B21" s="293"/>
      <c r="C21" s="77" t="s">
        <v>98</v>
      </c>
      <c r="D21" s="78">
        <f>D19</f>
        <v>0</v>
      </c>
      <c r="E21" s="78">
        <f>E19</f>
        <v>0</v>
      </c>
      <c r="F21" s="579">
        <f t="shared" ref="F21" si="0">SUM(F19:F20)</f>
        <v>0</v>
      </c>
      <c r="G21" s="579"/>
      <c r="H21" s="303"/>
      <c r="I21" s="298"/>
      <c r="J21" s="193"/>
      <c r="K21" s="193"/>
    </row>
    <row r="22" spans="1:11" ht="16.5" thickBot="1" x14ac:dyDescent="0.3">
      <c r="A22" s="193"/>
      <c r="B22" s="299"/>
      <c r="C22" s="304"/>
      <c r="D22" s="305"/>
      <c r="E22" s="305"/>
      <c r="F22" s="306"/>
      <c r="G22" s="306"/>
      <c r="H22" s="305"/>
      <c r="I22" s="301"/>
      <c r="J22" s="193"/>
      <c r="K22" s="193"/>
    </row>
    <row r="23" spans="1:11" thickBot="1" x14ac:dyDescent="0.3">
      <c r="A23" s="193"/>
      <c r="B23" s="193"/>
      <c r="C23" s="193"/>
      <c r="D23" s="193"/>
      <c r="E23" s="193"/>
      <c r="F23" s="193"/>
      <c r="G23" s="193"/>
      <c r="H23" s="193"/>
      <c r="I23" s="193"/>
      <c r="J23" s="193"/>
      <c r="K23" s="193"/>
    </row>
    <row r="24" spans="1:11" ht="15" x14ac:dyDescent="0.25">
      <c r="A24" s="193"/>
      <c r="B24" s="465" t="s">
        <v>2658</v>
      </c>
      <c r="C24" s="466"/>
      <c r="D24" s="466"/>
      <c r="E24" s="466"/>
      <c r="F24" s="466"/>
      <c r="G24" s="466"/>
      <c r="H24" s="466"/>
      <c r="I24" s="467"/>
      <c r="J24" s="193"/>
      <c r="K24" s="193"/>
    </row>
    <row r="25" spans="1:11" thickBot="1" x14ac:dyDescent="0.3">
      <c r="A25" s="193"/>
      <c r="B25" s="468"/>
      <c r="C25" s="469"/>
      <c r="D25" s="469"/>
      <c r="E25" s="469"/>
      <c r="F25" s="469"/>
      <c r="G25" s="469"/>
      <c r="H25" s="469"/>
      <c r="I25" s="470"/>
      <c r="J25" s="193"/>
      <c r="K25" s="193"/>
    </row>
    <row r="26" spans="1:11" ht="15" x14ac:dyDescent="0.25">
      <c r="A26" s="193"/>
      <c r="B26" s="290"/>
      <c r="C26" s="291"/>
      <c r="D26" s="291"/>
      <c r="E26" s="291"/>
      <c r="F26" s="291"/>
      <c r="G26" s="291"/>
      <c r="H26" s="291"/>
      <c r="I26" s="292"/>
      <c r="J26" s="193"/>
      <c r="K26" s="193"/>
    </row>
    <row r="27" spans="1:11" ht="15.75" customHeight="1" x14ac:dyDescent="0.25">
      <c r="A27" s="193"/>
      <c r="B27" s="293"/>
      <c r="C27" s="307" t="s">
        <v>2877</v>
      </c>
      <c r="D27" s="308">
        <f>SUM('Lighting Inventory'!Q$13:Q$82)</f>
        <v>0</v>
      </c>
      <c r="E27" s="580" t="s">
        <v>2950</v>
      </c>
      <c r="F27" s="580"/>
      <c r="G27" s="580"/>
      <c r="H27" s="1"/>
      <c r="I27" s="298"/>
      <c r="J27" s="193"/>
      <c r="K27" s="193"/>
    </row>
    <row r="28" spans="1:11" ht="15" x14ac:dyDescent="0.25">
      <c r="A28" s="193"/>
      <c r="B28" s="293"/>
      <c r="C28" s="307" t="s">
        <v>2872</v>
      </c>
      <c r="D28" s="308">
        <f>SUM('Lighting Inventory'!AJ$13:AJ$82)</f>
        <v>0</v>
      </c>
      <c r="E28" s="580"/>
      <c r="F28" s="580"/>
      <c r="G28" s="580"/>
      <c r="H28" s="310">
        <f>SUM('Lighting Inventory'!AG$13:AG$82)/1000</f>
        <v>0</v>
      </c>
      <c r="I28" s="298"/>
      <c r="J28" s="193"/>
      <c r="K28" s="193"/>
    </row>
    <row r="29" spans="1:11" ht="15" x14ac:dyDescent="0.25">
      <c r="A29" s="193"/>
      <c r="B29" s="293"/>
      <c r="C29" s="307" t="s">
        <v>2878</v>
      </c>
      <c r="D29" s="308">
        <f>SUM('Lighting Inventory'!G$13:G$82)</f>
        <v>0</v>
      </c>
      <c r="E29" s="309"/>
      <c r="F29" s="309"/>
      <c r="G29" s="309"/>
      <c r="H29" s="309"/>
      <c r="I29" s="298"/>
      <c r="J29" s="193"/>
      <c r="K29" s="193"/>
    </row>
    <row r="30" spans="1:11" ht="15" customHeight="1" x14ac:dyDescent="0.25">
      <c r="A30" s="193"/>
      <c r="B30" s="293"/>
      <c r="C30" s="307" t="s">
        <v>2873</v>
      </c>
      <c r="D30" s="308">
        <f>SUM('Lighting Inventory'!AH$13:AH$82)</f>
        <v>0</v>
      </c>
      <c r="E30" s="309"/>
      <c r="F30" s="309"/>
      <c r="G30" s="309"/>
      <c r="H30" s="309"/>
      <c r="I30" s="298"/>
      <c r="J30" s="193"/>
      <c r="K30" s="193"/>
    </row>
    <row r="31" spans="1:11" thickBot="1" x14ac:dyDescent="0.3">
      <c r="A31" s="193"/>
      <c r="B31" s="299"/>
      <c r="C31" s="300"/>
      <c r="D31" s="300"/>
      <c r="E31" s="300"/>
      <c r="F31" s="300"/>
      <c r="G31" s="300"/>
      <c r="H31" s="300"/>
      <c r="I31" s="301"/>
      <c r="J31" s="193"/>
      <c r="K31" s="193"/>
    </row>
    <row r="32" spans="1:11" ht="15" x14ac:dyDescent="0.25">
      <c r="A32" s="193"/>
      <c r="B32" s="193"/>
      <c r="C32" s="193"/>
      <c r="D32" s="193"/>
      <c r="E32" s="193"/>
      <c r="F32" s="193"/>
      <c r="G32" s="193"/>
      <c r="H32" s="193"/>
      <c r="I32" s="193"/>
      <c r="J32" s="193"/>
      <c r="K32" s="193"/>
    </row>
    <row r="33" spans="1:11" ht="15" x14ac:dyDescent="0.25">
      <c r="A33" s="193"/>
      <c r="B33" s="193"/>
      <c r="C33" s="193"/>
      <c r="D33" s="193"/>
      <c r="E33" s="193"/>
      <c r="F33" s="193"/>
      <c r="G33" s="193"/>
      <c r="H33" s="193"/>
      <c r="I33" s="193"/>
      <c r="J33" s="193"/>
      <c r="K33" s="193"/>
    </row>
    <row r="34" spans="1:11" ht="15" x14ac:dyDescent="0.25">
      <c r="A34" s="193"/>
      <c r="B34" s="193"/>
      <c r="C34" s="193"/>
      <c r="D34" s="193"/>
      <c r="E34" s="193"/>
      <c r="F34" s="193"/>
      <c r="G34" s="193"/>
      <c r="H34" s="193"/>
      <c r="I34" s="193"/>
      <c r="J34" s="193"/>
      <c r="K34" s="193"/>
    </row>
    <row r="35" spans="1:11" ht="15" x14ac:dyDescent="0.25">
      <c r="A35" s="193"/>
      <c r="B35" s="193"/>
      <c r="C35" s="193"/>
      <c r="D35" s="193"/>
      <c r="E35" s="193"/>
      <c r="F35" s="193"/>
      <c r="G35" s="193"/>
      <c r="H35" s="193"/>
      <c r="I35" s="193"/>
      <c r="J35" s="193"/>
      <c r="K35" s="193"/>
    </row>
    <row r="36" spans="1:11" ht="15" x14ac:dyDescent="0.25">
      <c r="A36" s="193"/>
      <c r="B36" s="193"/>
      <c r="C36" s="193"/>
      <c r="D36" s="193"/>
      <c r="E36" s="193"/>
      <c r="F36" s="193"/>
      <c r="G36" s="193"/>
      <c r="H36" s="193"/>
      <c r="I36" s="193"/>
      <c r="J36" s="193"/>
      <c r="K36" s="193"/>
    </row>
    <row r="37" spans="1:11" ht="15" x14ac:dyDescent="0.25">
      <c r="A37" s="193"/>
      <c r="B37" s="193"/>
      <c r="C37" s="193"/>
      <c r="D37" s="193"/>
      <c r="E37" s="193"/>
      <c r="F37" s="193"/>
      <c r="G37" s="193"/>
      <c r="H37" s="193"/>
      <c r="I37" s="193"/>
      <c r="J37" s="193"/>
      <c r="K37" s="193"/>
    </row>
    <row r="38" spans="1:11" ht="15" x14ac:dyDescent="0.25">
      <c r="A38" s="193"/>
      <c r="B38" s="193"/>
      <c r="C38" s="193"/>
      <c r="D38" s="193"/>
      <c r="E38" s="193"/>
      <c r="F38" s="193"/>
      <c r="G38" s="193"/>
      <c r="H38" s="193"/>
      <c r="I38" s="193"/>
      <c r="J38" s="193"/>
      <c r="K38" s="193"/>
    </row>
  </sheetData>
  <sheetProtection password="C2D4" sheet="1" objects="1" scenarios="1"/>
  <mergeCells count="16">
    <mergeCell ref="B5:I6"/>
    <mergeCell ref="D8:E8"/>
    <mergeCell ref="D9:E9"/>
    <mergeCell ref="D10:E10"/>
    <mergeCell ref="D11:E11"/>
    <mergeCell ref="B14:I15"/>
    <mergeCell ref="C17:C18"/>
    <mergeCell ref="D17:D18"/>
    <mergeCell ref="E17:E18"/>
    <mergeCell ref="F17:G18"/>
    <mergeCell ref="H17:H18"/>
    <mergeCell ref="F19:G19"/>
    <mergeCell ref="F20:G20"/>
    <mergeCell ref="F21:G21"/>
    <mergeCell ref="B24:I25"/>
    <mergeCell ref="E27:G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A144"/>
  <sheetViews>
    <sheetView showGridLines="0" zoomScale="90" zoomScaleNormal="90" workbookViewId="0">
      <pane ySplit="3" topLeftCell="A4" activePane="bottomLeft" state="frozen"/>
      <selection activeCell="D37" sqref="D37:N37"/>
      <selection pane="bottomLeft" activeCell="A4" sqref="A4"/>
    </sheetView>
  </sheetViews>
  <sheetFormatPr defaultRowHeight="15" x14ac:dyDescent="0.25"/>
  <cols>
    <col min="1" max="1" width="3.7109375" style="168" customWidth="1"/>
    <col min="2" max="2" width="50" style="314" bestFit="1" customWidth="1"/>
    <col min="3" max="6" width="9.7109375" style="314" customWidth="1"/>
    <col min="7" max="10" width="9.7109375" style="168" customWidth="1"/>
    <col min="11" max="11" width="3.7109375" style="168" customWidth="1"/>
    <col min="12" max="12" width="20.7109375" style="168" customWidth="1"/>
    <col min="13" max="14" width="7.7109375" style="168" customWidth="1"/>
    <col min="15" max="15" width="3.7109375" style="172" customWidth="1"/>
    <col min="16" max="16" width="55.7109375" style="172" customWidth="1"/>
    <col min="17" max="17" width="12.7109375" style="168" customWidth="1"/>
    <col min="18" max="18" width="7.7109375" style="172" customWidth="1"/>
    <col min="19" max="19" width="3.7109375" style="168" customWidth="1"/>
    <col min="20" max="20" width="9.140625" style="168"/>
    <col min="21" max="21" width="3.7109375" style="168" customWidth="1"/>
    <col min="22" max="22" width="55.7109375" style="168" customWidth="1"/>
    <col min="23" max="16384" width="9.140625" style="168"/>
  </cols>
  <sheetData>
    <row r="1" spans="1:27" ht="15" customHeight="1" x14ac:dyDescent="0.25">
      <c r="A1" s="103"/>
      <c r="B1" s="570"/>
      <c r="C1" s="570"/>
      <c r="D1" s="570"/>
      <c r="E1" s="570"/>
      <c r="F1" s="570"/>
      <c r="G1" s="570"/>
      <c r="H1" s="570"/>
      <c r="I1" s="570"/>
      <c r="J1" s="570"/>
      <c r="K1" s="570"/>
      <c r="L1" s="570"/>
      <c r="M1" s="570"/>
      <c r="N1" s="103"/>
      <c r="O1" s="110"/>
      <c r="P1" s="110"/>
      <c r="Q1" s="103"/>
      <c r="R1" s="103"/>
      <c r="S1" s="103"/>
      <c r="T1" s="103"/>
      <c r="U1" s="103"/>
      <c r="V1" s="103"/>
      <c r="W1" s="103"/>
      <c r="X1" s="103"/>
      <c r="Y1" s="103"/>
      <c r="Z1" s="103"/>
      <c r="AA1" s="103"/>
    </row>
    <row r="2" spans="1:27" s="27" customFormat="1" ht="22.5" x14ac:dyDescent="0.35">
      <c r="A2" s="16"/>
      <c r="B2" s="3" t="s">
        <v>0</v>
      </c>
      <c r="C2" s="17"/>
      <c r="D2" s="17"/>
      <c r="E2" s="17"/>
      <c r="F2" s="17"/>
      <c r="G2" s="17"/>
      <c r="H2" s="17"/>
      <c r="I2" s="17"/>
      <c r="J2" s="17"/>
      <c r="K2" s="17"/>
      <c r="L2" s="17"/>
      <c r="M2" s="17"/>
      <c r="N2" s="16"/>
      <c r="O2" s="68"/>
      <c r="P2" s="68"/>
      <c r="Q2" s="16"/>
      <c r="R2" s="16"/>
      <c r="S2" s="16"/>
      <c r="T2" s="16"/>
      <c r="U2" s="16"/>
      <c r="V2" s="16"/>
      <c r="W2" s="16"/>
      <c r="X2" s="16"/>
      <c r="Y2" s="16"/>
      <c r="Z2" s="16"/>
      <c r="AA2" s="16"/>
    </row>
    <row r="3" spans="1:27" s="316" customFormat="1" ht="17.25" x14ac:dyDescent="0.25">
      <c r="A3" s="5"/>
      <c r="B3" s="7" t="s">
        <v>2669</v>
      </c>
      <c r="C3" s="6"/>
      <c r="D3" s="6"/>
      <c r="E3" s="6"/>
      <c r="F3" s="6"/>
      <c r="G3" s="6"/>
      <c r="H3" s="6"/>
      <c r="I3" s="6"/>
      <c r="J3" s="6"/>
      <c r="K3" s="6"/>
      <c r="L3" s="6"/>
      <c r="M3" s="6"/>
      <c r="N3" s="6"/>
      <c r="O3" s="6"/>
      <c r="P3" s="6"/>
      <c r="Q3" s="6"/>
      <c r="R3" s="6"/>
      <c r="S3" s="6"/>
      <c r="T3" s="6"/>
      <c r="U3" s="6"/>
      <c r="V3" s="6"/>
      <c r="W3" s="6"/>
      <c r="X3" s="6"/>
      <c r="Y3" s="6"/>
      <c r="Z3" s="5"/>
      <c r="AA3" s="5"/>
    </row>
    <row r="4" spans="1:27" ht="9.75" customHeight="1" thickBot="1" x14ac:dyDescent="0.3">
      <c r="A4" s="104"/>
      <c r="B4" s="269"/>
      <c r="C4" s="269"/>
      <c r="D4" s="269"/>
      <c r="E4" s="269"/>
      <c r="F4" s="269"/>
      <c r="G4" s="269"/>
      <c r="H4" s="269"/>
      <c r="I4" s="269"/>
      <c r="J4" s="269"/>
      <c r="K4" s="269"/>
      <c r="L4" s="269"/>
      <c r="M4" s="269"/>
      <c r="N4" s="104"/>
      <c r="O4" s="110"/>
      <c r="P4" s="110"/>
      <c r="Q4" s="104"/>
      <c r="R4" s="104"/>
      <c r="S4" s="104"/>
      <c r="T4" s="104"/>
      <c r="U4" s="104"/>
      <c r="V4" s="104"/>
      <c r="W4" s="104"/>
      <c r="X4" s="104"/>
      <c r="Y4" s="104"/>
      <c r="Z4" s="104"/>
      <c r="AA4" s="104"/>
    </row>
    <row r="5" spans="1:27" ht="15" customHeight="1" x14ac:dyDescent="0.25">
      <c r="A5" s="104"/>
      <c r="B5" s="618" t="s">
        <v>2670</v>
      </c>
      <c r="C5" s="620" t="s">
        <v>2671</v>
      </c>
      <c r="D5" s="621"/>
      <c r="E5" s="620" t="s">
        <v>2672</v>
      </c>
      <c r="F5" s="621"/>
      <c r="G5" s="620" t="s">
        <v>2673</v>
      </c>
      <c r="H5" s="621"/>
      <c r="I5" s="620" t="s">
        <v>2674</v>
      </c>
      <c r="J5" s="621"/>
      <c r="K5" s="269"/>
      <c r="L5" s="603" t="s">
        <v>2675</v>
      </c>
      <c r="M5" s="604"/>
      <c r="N5" s="605"/>
      <c r="O5" s="110"/>
      <c r="P5" s="603" t="s">
        <v>2676</v>
      </c>
      <c r="Q5" s="604"/>
      <c r="R5" s="605"/>
      <c r="S5" s="104"/>
      <c r="T5" s="616" t="s">
        <v>2677</v>
      </c>
      <c r="U5" s="104"/>
      <c r="V5" s="603" t="s">
        <v>2678</v>
      </c>
      <c r="W5" s="604"/>
      <c r="X5" s="605"/>
      <c r="Y5" s="104"/>
      <c r="Z5" s="104"/>
      <c r="AA5" s="104"/>
    </row>
    <row r="6" spans="1:27" ht="15" customHeight="1" thickBot="1" x14ac:dyDescent="0.3">
      <c r="B6" s="619"/>
      <c r="C6" s="622"/>
      <c r="D6" s="623"/>
      <c r="E6" s="622"/>
      <c r="F6" s="623"/>
      <c r="G6" s="622"/>
      <c r="H6" s="623"/>
      <c r="I6" s="622"/>
      <c r="J6" s="623"/>
      <c r="L6" s="609"/>
      <c r="M6" s="610"/>
      <c r="N6" s="611"/>
      <c r="O6" s="168"/>
      <c r="P6" s="609"/>
      <c r="Q6" s="610"/>
      <c r="R6" s="611"/>
      <c r="T6" s="617"/>
      <c r="V6" s="609"/>
      <c r="W6" s="610"/>
      <c r="X6" s="611"/>
    </row>
    <row r="7" spans="1:27" ht="18" x14ac:dyDescent="0.35">
      <c r="B7" s="317" t="s">
        <v>2679</v>
      </c>
      <c r="C7" s="318" t="s">
        <v>401</v>
      </c>
      <c r="D7" s="319" t="s">
        <v>404</v>
      </c>
      <c r="E7" s="320" t="s">
        <v>401</v>
      </c>
      <c r="F7" s="321" t="s">
        <v>404</v>
      </c>
      <c r="G7" s="318" t="s">
        <v>2680</v>
      </c>
      <c r="H7" s="319" t="s">
        <v>2681</v>
      </c>
      <c r="I7" s="320" t="s">
        <v>2680</v>
      </c>
      <c r="J7" s="319" t="s">
        <v>2681</v>
      </c>
      <c r="L7" s="322" t="s">
        <v>2679</v>
      </c>
      <c r="M7" s="323" t="s">
        <v>2680</v>
      </c>
      <c r="N7" s="324" t="s">
        <v>2681</v>
      </c>
      <c r="O7" s="168"/>
      <c r="P7" s="322" t="s">
        <v>531</v>
      </c>
      <c r="Q7" s="323" t="s">
        <v>2682</v>
      </c>
      <c r="R7" s="324" t="s">
        <v>2683</v>
      </c>
      <c r="T7" s="364" t="str">
        <f>IF('General Information'!I26="Deemed","TRM",IF('General Information'!R15="&lt;Input Name&gt;","",'General Information'!R15))</f>
        <v/>
      </c>
      <c r="V7" s="322" t="s">
        <v>2684</v>
      </c>
      <c r="W7" s="323" t="s">
        <v>2685</v>
      </c>
      <c r="X7" s="325" t="s">
        <v>2682</v>
      </c>
    </row>
    <row r="8" spans="1:27" x14ac:dyDescent="0.25">
      <c r="B8" s="329" t="s">
        <v>2689</v>
      </c>
      <c r="C8" s="330">
        <v>2944</v>
      </c>
      <c r="D8" s="331">
        <v>0.39</v>
      </c>
      <c r="E8" s="332">
        <v>2371</v>
      </c>
      <c r="F8" s="333">
        <v>0.45</v>
      </c>
      <c r="G8" s="334">
        <v>1.9E-2</v>
      </c>
      <c r="H8" s="335">
        <v>0.123</v>
      </c>
      <c r="I8" s="336">
        <v>-0.16</v>
      </c>
      <c r="J8" s="335">
        <v>0.123</v>
      </c>
      <c r="L8" s="356" t="s">
        <v>485</v>
      </c>
      <c r="M8" s="79">
        <f>IFERROR(IF(OR('General Information'!I25="",'General Information'!I25="Unknown"),0,IF('General Information'!I25="Electric",VLOOKUP(VLOOKUP('General Information'!D23,E31:J67,5,FALSE),Lookups!B7:J22,8,FALSE),VLOOKUP(VLOOKUP('General Information'!D23,E31:J67,5,FALSE),Lookups!B7:J22,6,FALSE))),"")</f>
        <v>0</v>
      </c>
      <c r="N8" s="80" t="str">
        <f>IFERROR(IF('General Information'!I25="Electric",VLOOKUP(VLOOKUP('General Information'!D23,E31:J67,5,FALSE),Lookups!B7:J22,9,FALSE),VLOOKUP(VLOOKUP('General Information'!D23,E31:J67,5,FALSE),Lookups!B7:J22,7,FALSE)),"")</f>
        <v/>
      </c>
      <c r="O8" s="168"/>
      <c r="P8" s="356" t="s">
        <v>2686</v>
      </c>
      <c r="Q8" s="360" t="s">
        <v>538</v>
      </c>
      <c r="R8" s="361">
        <v>0</v>
      </c>
      <c r="T8" s="366" t="str">
        <f>IF('General Information'!T15="&lt;Input Name&gt;","",'General Information'!T15)</f>
        <v/>
      </c>
      <c r="V8" s="356" t="s">
        <v>2687</v>
      </c>
      <c r="W8" s="360">
        <v>4</v>
      </c>
      <c r="X8" s="372" t="s">
        <v>2688</v>
      </c>
    </row>
    <row r="9" spans="1:27" x14ac:dyDescent="0.25">
      <c r="B9" s="329" t="s">
        <v>2693</v>
      </c>
      <c r="C9" s="330">
        <v>3833</v>
      </c>
      <c r="D9" s="331">
        <v>0</v>
      </c>
      <c r="E9" s="332">
        <v>3833</v>
      </c>
      <c r="F9" s="333">
        <v>0</v>
      </c>
      <c r="G9" s="334">
        <v>0</v>
      </c>
      <c r="H9" s="335">
        <v>0</v>
      </c>
      <c r="I9" s="336">
        <v>0</v>
      </c>
      <c r="J9" s="335">
        <v>0</v>
      </c>
      <c r="L9" s="356" t="s">
        <v>2690</v>
      </c>
      <c r="M9" s="358">
        <v>0.5</v>
      </c>
      <c r="N9" s="331">
        <v>0.5</v>
      </c>
      <c r="O9" s="168"/>
      <c r="P9" s="356" t="s">
        <v>2691</v>
      </c>
      <c r="Q9" s="360" t="s">
        <v>541</v>
      </c>
      <c r="R9" s="361">
        <v>0.24</v>
      </c>
      <c r="T9" s="366" t="str">
        <f>IF('General Information'!V15="&lt;Input Name&gt;","",'General Information'!V15)</f>
        <v/>
      </c>
      <c r="V9" s="356" t="s">
        <v>2692</v>
      </c>
      <c r="W9" s="360">
        <v>2</v>
      </c>
      <c r="X9" s="372" t="s">
        <v>2688</v>
      </c>
    </row>
    <row r="10" spans="1:27" x14ac:dyDescent="0.25">
      <c r="B10" s="329" t="s">
        <v>2699</v>
      </c>
      <c r="C10" s="330">
        <v>7798</v>
      </c>
      <c r="D10" s="331">
        <v>0.99</v>
      </c>
      <c r="E10" s="332">
        <v>6471</v>
      </c>
      <c r="F10" s="333">
        <v>0.93</v>
      </c>
      <c r="G10" s="334">
        <v>0.03</v>
      </c>
      <c r="H10" s="335">
        <v>0.192</v>
      </c>
      <c r="I10" s="336">
        <v>-0.14799999999999999</v>
      </c>
      <c r="J10" s="335">
        <v>0.192</v>
      </c>
      <c r="L10" s="356" t="s">
        <v>2694</v>
      </c>
      <c r="M10" s="358">
        <v>0.28999999999999998</v>
      </c>
      <c r="N10" s="331">
        <v>0.28999999999999998</v>
      </c>
      <c r="O10" s="168"/>
      <c r="P10" s="356" t="s">
        <v>2695</v>
      </c>
      <c r="Q10" s="360" t="s">
        <v>2696</v>
      </c>
      <c r="R10" s="361">
        <v>0.24</v>
      </c>
      <c r="T10" s="366" t="str">
        <f>IF('General Information'!Y15="&lt;Input Name&gt;","",'General Information'!Y15)</f>
        <v/>
      </c>
      <c r="V10" s="356" t="s">
        <v>2697</v>
      </c>
      <c r="W10" s="360" t="str">
        <f>""</f>
        <v/>
      </c>
      <c r="X10" s="372" t="s">
        <v>2698</v>
      </c>
    </row>
    <row r="11" spans="1:27" x14ac:dyDescent="0.25">
      <c r="B11" s="329" t="s">
        <v>2705</v>
      </c>
      <c r="C11" s="330">
        <v>2476</v>
      </c>
      <c r="D11" s="331">
        <v>0.47</v>
      </c>
      <c r="E11" s="332">
        <v>2943</v>
      </c>
      <c r="F11" s="333">
        <v>0.52</v>
      </c>
      <c r="G11" s="334">
        <v>3.1E-2</v>
      </c>
      <c r="H11" s="335">
        <v>0.19400000000000001</v>
      </c>
      <c r="I11" s="336">
        <v>-0.14199999999999999</v>
      </c>
      <c r="J11" s="335">
        <v>0.19400000000000001</v>
      </c>
      <c r="L11" s="356" t="s">
        <v>2700</v>
      </c>
      <c r="M11" s="358">
        <v>0.18</v>
      </c>
      <c r="N11" s="331">
        <v>0.18</v>
      </c>
      <c r="O11" s="168"/>
      <c r="P11" s="356" t="s">
        <v>2701</v>
      </c>
      <c r="Q11" s="360" t="s">
        <v>2702</v>
      </c>
      <c r="R11" s="361">
        <v>0.24</v>
      </c>
      <c r="T11" s="366" t="str">
        <f>IF('General Information'!AB15="&lt;Input Name&gt;","",'General Information'!AB15)</f>
        <v/>
      </c>
      <c r="V11" s="356" t="s">
        <v>2703</v>
      </c>
      <c r="W11" s="360" t="str">
        <f>""</f>
        <v/>
      </c>
      <c r="X11" s="372" t="s">
        <v>2704</v>
      </c>
    </row>
    <row r="12" spans="1:27" ht="15.75" thickBot="1" x14ac:dyDescent="0.3">
      <c r="B12" s="329" t="s">
        <v>2711</v>
      </c>
      <c r="C12" s="337">
        <v>2857</v>
      </c>
      <c r="D12" s="338">
        <v>0.56999999999999995</v>
      </c>
      <c r="E12" s="339">
        <f>C12</f>
        <v>2857</v>
      </c>
      <c r="F12" s="340">
        <f>D12</f>
        <v>0.56999999999999995</v>
      </c>
      <c r="G12" s="341">
        <v>0.12</v>
      </c>
      <c r="H12" s="342">
        <v>0.34</v>
      </c>
      <c r="I12" s="343">
        <v>0.12</v>
      </c>
      <c r="J12" s="342">
        <v>0.34</v>
      </c>
      <c r="L12" s="357" t="s">
        <v>2706</v>
      </c>
      <c r="M12" s="359">
        <v>0</v>
      </c>
      <c r="N12" s="350">
        <v>0</v>
      </c>
      <c r="O12" s="168"/>
      <c r="P12" s="356" t="s">
        <v>2707</v>
      </c>
      <c r="Q12" s="360" t="s">
        <v>2708</v>
      </c>
      <c r="R12" s="361">
        <v>0.28000000000000003</v>
      </c>
      <c r="T12" s="367" t="str">
        <f>IF('General Information'!AD15="&lt;Input Name&gt;","",'General Information'!AD15)</f>
        <v/>
      </c>
      <c r="V12" s="356" t="s">
        <v>2709</v>
      </c>
      <c r="W12" s="360" t="str">
        <f>""</f>
        <v/>
      </c>
      <c r="X12" s="372" t="s">
        <v>2710</v>
      </c>
    </row>
    <row r="13" spans="1:27" ht="15.75" thickBot="1" x14ac:dyDescent="0.3">
      <c r="B13" s="329" t="s">
        <v>2716</v>
      </c>
      <c r="C13" s="337">
        <v>4730</v>
      </c>
      <c r="D13" s="338">
        <v>0.56999999999999995</v>
      </c>
      <c r="E13" s="339">
        <f t="shared" ref="E13:F14" si="0">C13</f>
        <v>4730</v>
      </c>
      <c r="F13" s="340">
        <f t="shared" si="0"/>
        <v>0.56999999999999995</v>
      </c>
      <c r="G13" s="341">
        <v>0.12</v>
      </c>
      <c r="H13" s="342">
        <v>0.34</v>
      </c>
      <c r="I13" s="343">
        <v>0.12</v>
      </c>
      <c r="J13" s="342">
        <v>0.34</v>
      </c>
      <c r="L13" s="588" t="s">
        <v>2712</v>
      </c>
      <c r="M13" s="589"/>
      <c r="N13" s="590"/>
      <c r="O13" s="168"/>
      <c r="P13" s="356" t="s">
        <v>2695</v>
      </c>
      <c r="Q13" s="360" t="s">
        <v>2713</v>
      </c>
      <c r="R13" s="361">
        <v>0.28000000000000003</v>
      </c>
      <c r="T13" s="203">
        <f>7-COUNTBLANK(T5:T12)</f>
        <v>0</v>
      </c>
      <c r="V13" s="356" t="s">
        <v>2714</v>
      </c>
      <c r="W13" s="360" t="str">
        <f>""</f>
        <v/>
      </c>
      <c r="X13" s="372" t="s">
        <v>2715</v>
      </c>
    </row>
    <row r="14" spans="1:27" ht="15.75" thickBot="1" x14ac:dyDescent="0.3">
      <c r="B14" s="329" t="s">
        <v>2721</v>
      </c>
      <c r="C14" s="337">
        <v>6631</v>
      </c>
      <c r="D14" s="338">
        <v>0.56999999999999995</v>
      </c>
      <c r="E14" s="339">
        <f t="shared" si="0"/>
        <v>6631</v>
      </c>
      <c r="F14" s="340">
        <f t="shared" si="0"/>
        <v>0.56999999999999995</v>
      </c>
      <c r="G14" s="341">
        <v>0.12</v>
      </c>
      <c r="H14" s="342">
        <v>0.34</v>
      </c>
      <c r="I14" s="343">
        <v>0.12</v>
      </c>
      <c r="J14" s="342">
        <v>0.34</v>
      </c>
      <c r="L14" s="591"/>
      <c r="M14" s="592"/>
      <c r="N14" s="593"/>
      <c r="O14" s="168"/>
      <c r="P14" s="356" t="s">
        <v>2717</v>
      </c>
      <c r="Q14" s="360" t="s">
        <v>2718</v>
      </c>
      <c r="R14" s="361">
        <v>0.31</v>
      </c>
      <c r="T14" s="616" t="s">
        <v>2883</v>
      </c>
      <c r="V14" s="357" t="s">
        <v>2719</v>
      </c>
      <c r="W14" s="362" t="str">
        <f>""</f>
        <v/>
      </c>
      <c r="X14" s="373" t="s">
        <v>2720</v>
      </c>
    </row>
    <row r="15" spans="1:27" ht="15.75" thickBot="1" x14ac:dyDescent="0.3">
      <c r="B15" s="329" t="s">
        <v>2724</v>
      </c>
      <c r="C15" s="330">
        <v>1456</v>
      </c>
      <c r="D15" s="331">
        <v>0.23</v>
      </c>
      <c r="E15" s="332">
        <v>1419</v>
      </c>
      <c r="F15" s="333">
        <v>0.23</v>
      </c>
      <c r="G15" s="334">
        <v>3.2000000000000001E-2</v>
      </c>
      <c r="H15" s="335">
        <v>0.16600000000000001</v>
      </c>
      <c r="I15" s="336">
        <v>-0.13900000000000001</v>
      </c>
      <c r="J15" s="335">
        <v>0.16600000000000001</v>
      </c>
      <c r="L15" s="591"/>
      <c r="M15" s="592"/>
      <c r="N15" s="593"/>
      <c r="O15" s="168"/>
      <c r="P15" s="356" t="s">
        <v>2722</v>
      </c>
      <c r="Q15" s="360" t="s">
        <v>2723</v>
      </c>
      <c r="R15" s="361">
        <v>0.31</v>
      </c>
      <c r="T15" s="617"/>
    </row>
    <row r="16" spans="1:27" ht="15.75" thickBot="1" x14ac:dyDescent="0.3">
      <c r="B16" s="329" t="s">
        <v>2727</v>
      </c>
      <c r="C16" s="330">
        <v>2925</v>
      </c>
      <c r="D16" s="331">
        <v>0.38</v>
      </c>
      <c r="E16" s="332">
        <v>3579</v>
      </c>
      <c r="F16" s="333">
        <v>0.45</v>
      </c>
      <c r="G16" s="334">
        <v>2.5999999999999999E-2</v>
      </c>
      <c r="H16" s="335">
        <v>0.19600000000000001</v>
      </c>
      <c r="I16" s="336">
        <v>-0.155</v>
      </c>
      <c r="J16" s="335">
        <v>0.19600000000000001</v>
      </c>
      <c r="L16" s="594"/>
      <c r="M16" s="595"/>
      <c r="N16" s="596"/>
      <c r="O16" s="168"/>
      <c r="P16" s="356" t="s">
        <v>2725</v>
      </c>
      <c r="Q16" s="360" t="s">
        <v>2726</v>
      </c>
      <c r="R16" s="361">
        <v>0.31</v>
      </c>
      <c r="T16" s="364" t="str">
        <f>IF('General Information'!C41="&lt;Name Your Space Type&gt;","",'General Information'!C41)</f>
        <v/>
      </c>
    </row>
    <row r="17" spans="1:27" x14ac:dyDescent="0.25">
      <c r="B17" s="329" t="s">
        <v>2730</v>
      </c>
      <c r="C17" s="330">
        <v>2001</v>
      </c>
      <c r="D17" s="331">
        <v>0.33</v>
      </c>
      <c r="E17" s="332">
        <v>2830</v>
      </c>
      <c r="F17" s="333">
        <v>0.57999999999999996</v>
      </c>
      <c r="G17" s="334">
        <v>3.5999999999999997E-2</v>
      </c>
      <c r="H17" s="335">
        <v>0.216</v>
      </c>
      <c r="I17" s="336">
        <v>-0.13600000000000001</v>
      </c>
      <c r="J17" s="335">
        <v>0.216</v>
      </c>
      <c r="O17" s="168"/>
      <c r="P17" s="356" t="s">
        <v>2728</v>
      </c>
      <c r="Q17" s="360" t="s">
        <v>2729</v>
      </c>
      <c r="R17" s="361">
        <v>0.31</v>
      </c>
      <c r="T17" s="364" t="str">
        <f>IF('General Information'!C42="&lt;Name Your Space Type&gt;","",'General Information'!C42)</f>
        <v/>
      </c>
    </row>
    <row r="18" spans="1:27" ht="15" customHeight="1" x14ac:dyDescent="0.25">
      <c r="B18" s="329" t="s">
        <v>492</v>
      </c>
      <c r="C18" s="330">
        <v>1420</v>
      </c>
      <c r="D18" s="331">
        <v>0.26</v>
      </c>
      <c r="E18" s="332">
        <v>2294</v>
      </c>
      <c r="F18" s="333">
        <v>0.48</v>
      </c>
      <c r="G18" s="334">
        <v>4.2999999999999997E-2</v>
      </c>
      <c r="H18" s="335">
        <v>0.22600000000000001</v>
      </c>
      <c r="I18" s="336">
        <v>-0.127</v>
      </c>
      <c r="J18" s="335">
        <v>0.22600000000000001</v>
      </c>
      <c r="N18" s="311"/>
      <c r="O18" s="168"/>
      <c r="P18" s="356" t="s">
        <v>2731</v>
      </c>
      <c r="Q18" s="360" t="s">
        <v>2732</v>
      </c>
      <c r="R18" s="361">
        <v>0.31</v>
      </c>
      <c r="T18" s="364" t="str">
        <f>IF('General Information'!C43="&lt;Name Your Space Type&gt;","",'General Information'!C43)</f>
        <v/>
      </c>
    </row>
    <row r="19" spans="1:27" x14ac:dyDescent="0.25">
      <c r="B19" s="329" t="s">
        <v>2735</v>
      </c>
      <c r="C19" s="337">
        <v>6552</v>
      </c>
      <c r="D19" s="338">
        <v>0.62</v>
      </c>
      <c r="E19" s="339">
        <f>C19</f>
        <v>6552</v>
      </c>
      <c r="F19" s="340">
        <f>D19</f>
        <v>0.62</v>
      </c>
      <c r="G19" s="334">
        <v>0</v>
      </c>
      <c r="H19" s="335">
        <v>0</v>
      </c>
      <c r="I19" s="336">
        <v>0</v>
      </c>
      <c r="J19" s="335">
        <v>0</v>
      </c>
      <c r="N19" s="311"/>
      <c r="O19" s="168"/>
      <c r="P19" s="356" t="s">
        <v>2733</v>
      </c>
      <c r="Q19" s="360" t="s">
        <v>2734</v>
      </c>
      <c r="R19" s="361">
        <v>0.36</v>
      </c>
      <c r="T19" s="364" t="str">
        <f>IF('General Information'!C44="&lt;Name Your Space Type&gt;","",'General Information'!C44)</f>
        <v/>
      </c>
    </row>
    <row r="20" spans="1:27" x14ac:dyDescent="0.25">
      <c r="B20" s="329" t="s">
        <v>2737</v>
      </c>
      <c r="C20" s="330">
        <v>3054</v>
      </c>
      <c r="D20" s="331">
        <v>0.55000000000000004</v>
      </c>
      <c r="E20" s="332">
        <v>4747</v>
      </c>
      <c r="F20" s="333">
        <v>0.77</v>
      </c>
      <c r="G20" s="334">
        <v>3.4000000000000002E-2</v>
      </c>
      <c r="H20" s="335">
        <v>0.193</v>
      </c>
      <c r="I20" s="336">
        <v>-0.13800000000000001</v>
      </c>
      <c r="J20" s="335">
        <v>0.193</v>
      </c>
      <c r="N20" s="312"/>
      <c r="O20" s="168"/>
      <c r="P20" s="356" t="s">
        <v>2736</v>
      </c>
      <c r="Q20" s="360" t="s">
        <v>2734</v>
      </c>
      <c r="R20" s="361">
        <v>0.36</v>
      </c>
      <c r="T20" s="364" t="str">
        <f>IF('General Information'!C45="&lt;Name Your Space Type&gt;","",'General Information'!C45)</f>
        <v/>
      </c>
    </row>
    <row r="21" spans="1:27" ht="15.75" thickBot="1" x14ac:dyDescent="0.3">
      <c r="B21" s="329" t="s">
        <v>2740</v>
      </c>
      <c r="C21" s="330">
        <v>2383</v>
      </c>
      <c r="D21" s="331">
        <v>0.56000000000000005</v>
      </c>
      <c r="E21" s="332">
        <v>2915</v>
      </c>
      <c r="F21" s="333">
        <v>0.66</v>
      </c>
      <c r="G21" s="334">
        <v>3.5999999999999997E-2</v>
      </c>
      <c r="H21" s="335">
        <v>0.215</v>
      </c>
      <c r="I21" s="336">
        <v>-0.13100000000000001</v>
      </c>
      <c r="J21" s="335">
        <v>0.215</v>
      </c>
      <c r="N21" s="313"/>
      <c r="O21" s="168"/>
      <c r="P21" s="357" t="s">
        <v>2738</v>
      </c>
      <c r="Q21" s="362" t="s">
        <v>2739</v>
      </c>
      <c r="R21" s="363">
        <v>0.38</v>
      </c>
      <c r="T21" s="364" t="str">
        <f>IF('General Information'!C46="&lt;Name Your Space Type&gt;","",'General Information'!C46)</f>
        <v/>
      </c>
    </row>
    <row r="22" spans="1:27" ht="15.75" thickBot="1" x14ac:dyDescent="0.3">
      <c r="B22" s="344" t="s">
        <v>2741</v>
      </c>
      <c r="C22" s="81" t="str">
        <f>IF('General Information'!D18="","",IF('General Information'!D18="PECO",4100,IF('General Information'!D18="PPL",4300,IF('General Information'!D18="Penn Power",4070,4200))))</f>
        <v/>
      </c>
      <c r="D22" s="345">
        <v>0</v>
      </c>
      <c r="E22" s="82" t="str">
        <f>C22</f>
        <v/>
      </c>
      <c r="F22" s="346">
        <v>0</v>
      </c>
      <c r="G22" s="334">
        <v>0</v>
      </c>
      <c r="H22" s="335">
        <v>0</v>
      </c>
      <c r="I22" s="347">
        <v>0</v>
      </c>
      <c r="J22" s="335">
        <v>0</v>
      </c>
      <c r="N22" s="313"/>
      <c r="O22" s="168"/>
      <c r="P22" s="168"/>
      <c r="Q22" s="172"/>
      <c r="T22" s="364" t="str">
        <f>IF('General Information'!C47="&lt;Name Your Space Type&gt;","",'General Information'!C47)</f>
        <v/>
      </c>
    </row>
    <row r="23" spans="1:27" ht="15.75" thickBot="1" x14ac:dyDescent="0.3">
      <c r="B23" s="348" t="s">
        <v>2743</v>
      </c>
      <c r="C23" s="349">
        <v>2815</v>
      </c>
      <c r="D23" s="350">
        <v>0.5</v>
      </c>
      <c r="E23" s="351">
        <v>2545</v>
      </c>
      <c r="F23" s="352">
        <v>0.48</v>
      </c>
      <c r="G23" s="353">
        <v>2.7E-2</v>
      </c>
      <c r="H23" s="354">
        <v>0.19900000000000001</v>
      </c>
      <c r="I23" s="355">
        <v>-0.14499999999999999</v>
      </c>
      <c r="J23" s="354">
        <v>0.19900000000000001</v>
      </c>
      <c r="N23" s="313"/>
      <c r="O23" s="168"/>
      <c r="P23" s="603" t="s">
        <v>2742</v>
      </c>
      <c r="Q23" s="604"/>
      <c r="R23" s="605"/>
      <c r="T23" s="364" t="str">
        <f>IF('General Information'!C48="&lt;Name Your Space Type&gt;","",'General Information'!C48)</f>
        <v/>
      </c>
    </row>
    <row r="24" spans="1:27" x14ac:dyDescent="0.25">
      <c r="B24" s="588" t="s">
        <v>2744</v>
      </c>
      <c r="C24" s="589"/>
      <c r="D24" s="589"/>
      <c r="E24" s="589"/>
      <c r="F24" s="589"/>
      <c r="G24" s="589"/>
      <c r="H24" s="589"/>
      <c r="I24" s="589"/>
      <c r="J24" s="590"/>
      <c r="L24" s="314"/>
      <c r="M24" s="314"/>
      <c r="N24" s="313"/>
      <c r="O24" s="168"/>
      <c r="P24" s="606"/>
      <c r="Q24" s="607"/>
      <c r="R24" s="608"/>
      <c r="T24" s="364" t="str">
        <f>IF('General Information'!C49="&lt;Name Your Space Type&gt;","",'General Information'!C49)</f>
        <v/>
      </c>
    </row>
    <row r="25" spans="1:27" x14ac:dyDescent="0.25">
      <c r="B25" s="591"/>
      <c r="C25" s="592"/>
      <c r="D25" s="592"/>
      <c r="E25" s="592"/>
      <c r="F25" s="592"/>
      <c r="G25" s="592"/>
      <c r="H25" s="592"/>
      <c r="I25" s="592"/>
      <c r="J25" s="593"/>
      <c r="L25" s="314"/>
      <c r="M25" s="314"/>
      <c r="N25" s="313"/>
      <c r="O25" s="168"/>
      <c r="P25" s="326" t="s">
        <v>531</v>
      </c>
      <c r="Q25" s="327" t="s">
        <v>2745</v>
      </c>
      <c r="R25" s="328" t="s">
        <v>2746</v>
      </c>
      <c r="T25" s="364" t="str">
        <f>IF('General Information'!C50="&lt;Name Your Space Type&gt;","",'General Information'!C50)</f>
        <v/>
      </c>
    </row>
    <row r="26" spans="1:27" ht="15.75" thickBot="1" x14ac:dyDescent="0.3">
      <c r="B26" s="594"/>
      <c r="C26" s="595"/>
      <c r="D26" s="595"/>
      <c r="E26" s="595"/>
      <c r="F26" s="595"/>
      <c r="G26" s="595"/>
      <c r="H26" s="595"/>
      <c r="I26" s="595"/>
      <c r="J26" s="596"/>
      <c r="L26" s="314"/>
      <c r="M26" s="314"/>
      <c r="N26" s="313"/>
      <c r="O26" s="168"/>
      <c r="P26" s="356" t="s">
        <v>2689</v>
      </c>
      <c r="Q26" s="368">
        <v>0.54</v>
      </c>
      <c r="R26" s="369">
        <f t="shared" ref="R26:R40" si="1">IFERROR(0.24*Q26,0)</f>
        <v>0.12959999999999999</v>
      </c>
      <c r="S26" s="172"/>
      <c r="T26" s="364" t="str">
        <f>IF('General Information'!C51="&lt;Name Your Space Type&gt;","",'General Information'!C51)</f>
        <v/>
      </c>
    </row>
    <row r="27" spans="1:27" ht="15.75" thickBot="1" x14ac:dyDescent="0.3">
      <c r="L27" s="314"/>
      <c r="M27" s="314"/>
      <c r="N27" s="313"/>
      <c r="O27" s="168"/>
      <c r="P27" s="356" t="s">
        <v>2693</v>
      </c>
      <c r="Q27" s="368" t="s">
        <v>296</v>
      </c>
      <c r="R27" s="369">
        <f t="shared" si="1"/>
        <v>0</v>
      </c>
      <c r="S27" s="172"/>
      <c r="T27" s="364" t="str">
        <f>IF('General Information'!C52="&lt;Name Your Space Type&gt;","",'General Information'!C52)</f>
        <v/>
      </c>
    </row>
    <row r="28" spans="1:27" x14ac:dyDescent="0.25">
      <c r="B28" s="603" t="s">
        <v>3004</v>
      </c>
      <c r="C28" s="605"/>
      <c r="D28" s="168"/>
      <c r="E28" s="603" t="s">
        <v>3005</v>
      </c>
      <c r="F28" s="604"/>
      <c r="G28" s="604"/>
      <c r="H28" s="604"/>
      <c r="I28" s="604"/>
      <c r="J28" s="605"/>
      <c r="L28" s="314"/>
      <c r="M28" s="314"/>
      <c r="O28" s="168"/>
      <c r="P28" s="356" t="s">
        <v>2699</v>
      </c>
      <c r="Q28" s="368">
        <v>0.01</v>
      </c>
      <c r="R28" s="369">
        <f t="shared" si="1"/>
        <v>2.3999999999999998E-3</v>
      </c>
      <c r="S28" s="172"/>
      <c r="T28" s="364" t="str">
        <f>IF('General Information'!C53="&lt;Name Your Space Type&gt;","",'General Information'!C53)</f>
        <v/>
      </c>
    </row>
    <row r="29" spans="1:27" ht="15.75" thickBot="1" x14ac:dyDescent="0.3">
      <c r="A29" s="314"/>
      <c r="B29" s="609"/>
      <c r="C29" s="611"/>
      <c r="D29" s="168"/>
      <c r="E29" s="609"/>
      <c r="F29" s="610"/>
      <c r="G29" s="610"/>
      <c r="H29" s="610"/>
      <c r="I29" s="610"/>
      <c r="J29" s="611"/>
      <c r="L29" s="314"/>
      <c r="M29" s="314"/>
      <c r="O29" s="314"/>
      <c r="P29" s="356" t="s">
        <v>2705</v>
      </c>
      <c r="Q29" s="368">
        <v>7.0000000000000007E-2</v>
      </c>
      <c r="R29" s="369">
        <f t="shared" si="1"/>
        <v>1.6800000000000002E-2</v>
      </c>
      <c r="S29" s="315"/>
      <c r="T29" s="364" t="str">
        <f>IF('General Information'!C54="&lt;Name Your Space Type&gt;","",'General Information'!C54)</f>
        <v/>
      </c>
    </row>
    <row r="30" spans="1:27" x14ac:dyDescent="0.25">
      <c r="A30" s="314"/>
      <c r="B30" s="322" t="s">
        <v>2747</v>
      </c>
      <c r="C30" s="324" t="s">
        <v>2748</v>
      </c>
      <c r="D30" s="168"/>
      <c r="E30" s="612" t="s">
        <v>2749</v>
      </c>
      <c r="F30" s="613"/>
      <c r="G30" s="614"/>
      <c r="H30" s="324" t="s">
        <v>2748</v>
      </c>
      <c r="I30" s="612" t="s">
        <v>2955</v>
      </c>
      <c r="J30" s="615"/>
      <c r="K30" s="314"/>
      <c r="L30" s="314"/>
      <c r="M30" s="314"/>
      <c r="O30" s="314"/>
      <c r="P30" s="356" t="s">
        <v>2711</v>
      </c>
      <c r="Q30" s="368" t="s">
        <v>296</v>
      </c>
      <c r="R30" s="369">
        <f t="shared" si="1"/>
        <v>0</v>
      </c>
      <c r="S30" s="315"/>
      <c r="T30" s="364" t="str">
        <f>IF('General Information'!C55="&lt;Name Your Space Type&gt;","",'General Information'!C55)</f>
        <v/>
      </c>
      <c r="U30" s="314"/>
      <c r="Y30" s="314"/>
      <c r="Z30" s="314"/>
      <c r="AA30" s="314"/>
    </row>
    <row r="31" spans="1:27" x14ac:dyDescent="0.25">
      <c r="A31" s="314"/>
      <c r="B31" s="393" t="s">
        <v>2941</v>
      </c>
      <c r="C31" s="396" t="str">
        <f>IF('General Information'!D37="Building Area Method",VLOOKUP('General Information'!D23,LPD_BuildingArea,4,FALSE),"")</f>
        <v/>
      </c>
      <c r="E31" s="374" t="s">
        <v>2751</v>
      </c>
      <c r="F31" s="375"/>
      <c r="G31" s="376"/>
      <c r="H31" s="377">
        <v>0.9</v>
      </c>
      <c r="I31" s="597" t="str">
        <f>B17</f>
        <v>Miscellaneous</v>
      </c>
      <c r="J31" s="598"/>
      <c r="K31" s="314"/>
      <c r="L31" s="314"/>
      <c r="M31" s="314"/>
      <c r="O31" s="314"/>
      <c r="P31" s="356" t="s">
        <v>2716</v>
      </c>
      <c r="Q31" s="368" t="s">
        <v>296</v>
      </c>
      <c r="R31" s="369">
        <f t="shared" si="1"/>
        <v>0</v>
      </c>
      <c r="S31" s="315"/>
      <c r="T31" s="364" t="str">
        <f>IF('General Information'!C56="&lt;Name Your Space Type&gt;","",'General Information'!C56)</f>
        <v/>
      </c>
      <c r="U31" s="314"/>
      <c r="Y31" s="314"/>
      <c r="Z31" s="314"/>
      <c r="AA31" s="314"/>
    </row>
    <row r="32" spans="1:27" x14ac:dyDescent="0.25">
      <c r="A32" s="314"/>
      <c r="B32" s="393" t="s">
        <v>2750</v>
      </c>
      <c r="C32" s="392">
        <v>0.8</v>
      </c>
      <c r="E32" s="374" t="s">
        <v>2753</v>
      </c>
      <c r="F32" s="375"/>
      <c r="G32" s="376"/>
      <c r="H32" s="377">
        <v>1.2</v>
      </c>
      <c r="I32" s="597" t="str">
        <f>B17</f>
        <v>Miscellaneous</v>
      </c>
      <c r="J32" s="598"/>
      <c r="K32" s="314"/>
      <c r="L32" s="314"/>
      <c r="M32" s="314"/>
      <c r="O32" s="314"/>
      <c r="P32" s="356" t="s">
        <v>2721</v>
      </c>
      <c r="Q32" s="368" t="s">
        <v>296</v>
      </c>
      <c r="R32" s="369">
        <f t="shared" si="1"/>
        <v>0</v>
      </c>
      <c r="S32" s="315"/>
      <c r="T32" s="364" t="str">
        <f>IF('General Information'!C57="&lt;Name Your Space Type&gt;","",'General Information'!C57)</f>
        <v/>
      </c>
      <c r="U32" s="314"/>
      <c r="V32" s="314"/>
      <c r="W32" s="314"/>
      <c r="X32" s="314"/>
      <c r="Y32" s="314"/>
      <c r="Z32" s="314"/>
      <c r="AA32" s="314"/>
    </row>
    <row r="33" spans="1:27" x14ac:dyDescent="0.25">
      <c r="A33" s="314"/>
      <c r="B33" s="393" t="s">
        <v>2752</v>
      </c>
      <c r="C33" s="392">
        <v>0.9</v>
      </c>
      <c r="E33" s="374" t="s">
        <v>2755</v>
      </c>
      <c r="F33" s="375"/>
      <c r="G33" s="376"/>
      <c r="H33" s="377">
        <v>1.2</v>
      </c>
      <c r="I33" s="597" t="str">
        <f>B15</f>
        <v>Institutional/Public Service</v>
      </c>
      <c r="J33" s="598"/>
      <c r="K33" s="314"/>
      <c r="L33" s="314"/>
      <c r="M33" s="314"/>
      <c r="O33" s="314"/>
      <c r="P33" s="356" t="s">
        <v>2724</v>
      </c>
      <c r="Q33" s="368">
        <v>0.3</v>
      </c>
      <c r="R33" s="369">
        <f t="shared" si="1"/>
        <v>7.1999999999999995E-2</v>
      </c>
      <c r="S33" s="315"/>
      <c r="T33" s="364" t="str">
        <f>IF('General Information'!C58="&lt;Name Your Space Type&gt;","",'General Information'!C58)</f>
        <v/>
      </c>
      <c r="U33" s="314"/>
      <c r="V33" s="314"/>
      <c r="W33" s="314"/>
      <c r="X33" s="314"/>
      <c r="Y33" s="314"/>
      <c r="Z33" s="314"/>
      <c r="AA33" s="314"/>
    </row>
    <row r="34" spans="1:27" x14ac:dyDescent="0.25">
      <c r="A34" s="314"/>
      <c r="B34" s="393" t="s">
        <v>2754</v>
      </c>
      <c r="C34" s="392">
        <v>0.2</v>
      </c>
      <c r="E34" s="374" t="s">
        <v>2757</v>
      </c>
      <c r="F34" s="375"/>
      <c r="G34" s="376"/>
      <c r="H34" s="377">
        <v>1.3</v>
      </c>
      <c r="I34" s="597" t="str">
        <f>B20</f>
        <v>Restaurant</v>
      </c>
      <c r="J34" s="598"/>
      <c r="K34" s="314"/>
      <c r="L34" s="314"/>
      <c r="M34" s="314"/>
      <c r="O34" s="314"/>
      <c r="P34" s="356" t="s">
        <v>2727</v>
      </c>
      <c r="Q34" s="368">
        <v>0.05</v>
      </c>
      <c r="R34" s="369">
        <f t="shared" si="1"/>
        <v>1.2E-2</v>
      </c>
      <c r="S34" s="315"/>
      <c r="T34" s="364" t="str">
        <f>IF('General Information'!C59="&lt;Name Your Space Type&gt;","",'General Information'!C59)</f>
        <v/>
      </c>
      <c r="U34" s="314"/>
      <c r="V34" s="314"/>
      <c r="W34" s="314"/>
      <c r="X34" s="314"/>
      <c r="Y34" s="314"/>
      <c r="Z34" s="314"/>
      <c r="AA34" s="314"/>
    </row>
    <row r="35" spans="1:27" ht="15.75" thickBot="1" x14ac:dyDescent="0.3">
      <c r="A35" s="314"/>
      <c r="B35" s="393" t="s">
        <v>2756</v>
      </c>
      <c r="C35" s="392">
        <v>0.6</v>
      </c>
      <c r="E35" s="374" t="s">
        <v>2759</v>
      </c>
      <c r="F35" s="375"/>
      <c r="G35" s="376"/>
      <c r="H35" s="377">
        <v>1.4</v>
      </c>
      <c r="I35" s="597" t="str">
        <f>B20</f>
        <v>Restaurant</v>
      </c>
      <c r="J35" s="598"/>
      <c r="K35" s="314"/>
      <c r="M35" s="314"/>
      <c r="N35" s="314"/>
      <c r="O35" s="314"/>
      <c r="P35" s="356" t="s">
        <v>2730</v>
      </c>
      <c r="Q35" s="368">
        <v>0.08</v>
      </c>
      <c r="R35" s="369">
        <f t="shared" si="1"/>
        <v>1.9199999999999998E-2</v>
      </c>
      <c r="S35" s="315"/>
      <c r="T35" s="365" t="str">
        <f>IF('General Information'!C60="&lt;Name Your Space Type&gt;","",'General Information'!C60)</f>
        <v/>
      </c>
      <c r="U35" s="314"/>
      <c r="V35" s="314"/>
      <c r="W35" s="314"/>
      <c r="X35" s="314"/>
      <c r="Y35" s="314"/>
      <c r="Z35" s="314"/>
      <c r="AA35" s="314"/>
    </row>
    <row r="36" spans="1:27" x14ac:dyDescent="0.25">
      <c r="A36" s="314"/>
      <c r="B36" s="393" t="s">
        <v>2758</v>
      </c>
      <c r="C36" s="392">
        <v>0.9</v>
      </c>
      <c r="E36" s="374" t="s">
        <v>2761</v>
      </c>
      <c r="F36" s="375"/>
      <c r="G36" s="376"/>
      <c r="H36" s="377">
        <v>1.6</v>
      </c>
      <c r="I36" s="597" t="str">
        <f>B20</f>
        <v>Restaurant</v>
      </c>
      <c r="J36" s="598"/>
      <c r="K36" s="314"/>
      <c r="M36" s="314"/>
      <c r="N36" s="314"/>
      <c r="O36" s="314"/>
      <c r="P36" s="356" t="s">
        <v>492</v>
      </c>
      <c r="Q36" s="368">
        <v>7.0000000000000007E-2</v>
      </c>
      <c r="R36" s="369">
        <f t="shared" si="1"/>
        <v>1.6800000000000002E-2</v>
      </c>
      <c r="S36" s="315"/>
      <c r="T36" s="371">
        <f>21-COUNTBLANK(T14:T35)</f>
        <v>0</v>
      </c>
      <c r="U36" s="314"/>
      <c r="V36" s="314"/>
      <c r="W36" s="314"/>
      <c r="X36" s="314"/>
      <c r="Y36" s="314"/>
      <c r="Z36" s="314"/>
      <c r="AA36" s="314"/>
    </row>
    <row r="37" spans="1:27" x14ac:dyDescent="0.25">
      <c r="A37" s="314"/>
      <c r="B37" s="393" t="s">
        <v>2760</v>
      </c>
      <c r="C37" s="392">
        <v>0.7</v>
      </c>
      <c r="E37" s="374" t="s">
        <v>2763</v>
      </c>
      <c r="F37" s="375"/>
      <c r="G37" s="376"/>
      <c r="H37" s="377">
        <v>1</v>
      </c>
      <c r="I37" s="597" t="str">
        <f>B8</f>
        <v>Education</v>
      </c>
      <c r="J37" s="598"/>
      <c r="K37" s="314"/>
      <c r="M37" s="314"/>
      <c r="N37" s="314"/>
      <c r="O37" s="314"/>
      <c r="P37" s="356" t="s">
        <v>2735</v>
      </c>
      <c r="Q37" s="368" t="s">
        <v>296</v>
      </c>
      <c r="R37" s="369">
        <f t="shared" si="1"/>
        <v>0</v>
      </c>
      <c r="S37" s="315"/>
      <c r="T37" s="314"/>
      <c r="U37" s="314"/>
      <c r="V37" s="314"/>
      <c r="W37" s="314"/>
      <c r="X37" s="314"/>
      <c r="Y37" s="314"/>
      <c r="Z37" s="314"/>
      <c r="AA37" s="314"/>
    </row>
    <row r="38" spans="1:27" x14ac:dyDescent="0.25">
      <c r="A38" s="314"/>
      <c r="B38" s="393" t="s">
        <v>2762</v>
      </c>
      <c r="C38" s="392">
        <v>0.3</v>
      </c>
      <c r="E38" s="374" t="s">
        <v>2765</v>
      </c>
      <c r="F38" s="375"/>
      <c r="G38" s="376"/>
      <c r="H38" s="377">
        <v>1</v>
      </c>
      <c r="I38" s="597" t="str">
        <f>B11</f>
        <v>Health</v>
      </c>
      <c r="J38" s="598"/>
      <c r="K38" s="314"/>
      <c r="M38" s="314"/>
      <c r="N38" s="314"/>
      <c r="O38" s="314"/>
      <c r="P38" s="356" t="s">
        <v>2737</v>
      </c>
      <c r="Q38" s="368">
        <v>0.01</v>
      </c>
      <c r="R38" s="369">
        <f t="shared" si="1"/>
        <v>2.3999999999999998E-3</v>
      </c>
      <c r="S38" s="315"/>
      <c r="T38" s="314"/>
      <c r="U38" s="314"/>
      <c r="V38" s="314"/>
      <c r="W38" s="314"/>
      <c r="X38" s="314"/>
      <c r="Y38" s="314"/>
      <c r="Z38" s="314"/>
      <c r="AA38" s="314"/>
    </row>
    <row r="39" spans="1:27" x14ac:dyDescent="0.25">
      <c r="A39" s="314"/>
      <c r="B39" s="393" t="s">
        <v>2764</v>
      </c>
      <c r="C39" s="392">
        <v>0.4</v>
      </c>
      <c r="E39" s="386" t="s">
        <v>2693</v>
      </c>
      <c r="F39" s="387"/>
      <c r="G39" s="388"/>
      <c r="H39" s="389"/>
      <c r="I39" s="586" t="s">
        <v>2693</v>
      </c>
      <c r="J39" s="587"/>
      <c r="K39" s="314"/>
      <c r="M39" s="314"/>
      <c r="N39" s="314"/>
      <c r="O39" s="314"/>
      <c r="P39" s="356" t="s">
        <v>2740</v>
      </c>
      <c r="Q39" s="368">
        <v>0.01</v>
      </c>
      <c r="R39" s="369">
        <f t="shared" si="1"/>
        <v>2.3999999999999998E-3</v>
      </c>
      <c r="S39" s="315"/>
      <c r="T39" s="314"/>
      <c r="U39" s="314"/>
      <c r="V39" s="314"/>
      <c r="W39" s="314"/>
      <c r="X39" s="314"/>
      <c r="Y39" s="314"/>
      <c r="Z39" s="314"/>
      <c r="AA39" s="314"/>
    </row>
    <row r="40" spans="1:27" ht="15.75" thickBot="1" x14ac:dyDescent="0.3">
      <c r="A40" s="314"/>
      <c r="B40" s="393" t="s">
        <v>2766</v>
      </c>
      <c r="C40" s="392">
        <v>1.2</v>
      </c>
      <c r="E40" s="386" t="s">
        <v>2699</v>
      </c>
      <c r="F40" s="387"/>
      <c r="G40" s="388"/>
      <c r="H40" s="389">
        <v>1.5</v>
      </c>
      <c r="I40" s="586" t="s">
        <v>2693</v>
      </c>
      <c r="J40" s="587"/>
      <c r="K40" s="314"/>
      <c r="M40" s="314"/>
      <c r="N40" s="314"/>
      <c r="O40" s="314"/>
      <c r="P40" s="357" t="s">
        <v>2743</v>
      </c>
      <c r="Q40" s="370">
        <v>0.04</v>
      </c>
      <c r="R40" s="369">
        <f t="shared" si="1"/>
        <v>9.5999999999999992E-3</v>
      </c>
      <c r="S40" s="315"/>
      <c r="T40" s="314"/>
      <c r="U40" s="314"/>
      <c r="V40" s="314"/>
      <c r="W40" s="314"/>
      <c r="X40" s="314"/>
      <c r="Y40" s="314"/>
      <c r="Z40" s="314"/>
      <c r="AA40" s="314"/>
    </row>
    <row r="41" spans="1:27" x14ac:dyDescent="0.25">
      <c r="A41" s="314"/>
      <c r="B41" s="393" t="s">
        <v>2768</v>
      </c>
      <c r="C41" s="392">
        <v>0.7</v>
      </c>
      <c r="E41" s="374" t="s">
        <v>2767</v>
      </c>
      <c r="F41" s="375"/>
      <c r="G41" s="376"/>
      <c r="H41" s="377">
        <v>1.1000000000000001</v>
      </c>
      <c r="I41" s="597" t="str">
        <f>B11</f>
        <v>Health</v>
      </c>
      <c r="J41" s="598"/>
      <c r="K41" s="314"/>
      <c r="M41" s="314"/>
      <c r="N41" s="314"/>
      <c r="O41" s="314"/>
      <c r="P41" s="588" t="s">
        <v>2772</v>
      </c>
      <c r="Q41" s="589"/>
      <c r="R41" s="590"/>
      <c r="S41" s="315"/>
      <c r="T41" s="314"/>
      <c r="U41" s="314"/>
      <c r="V41" s="314"/>
      <c r="W41" s="314"/>
      <c r="X41" s="314"/>
      <c r="Y41" s="314"/>
      <c r="Z41" s="314"/>
      <c r="AA41" s="314"/>
    </row>
    <row r="42" spans="1:27" x14ac:dyDescent="0.25">
      <c r="A42" s="314"/>
      <c r="B42" s="393" t="s">
        <v>2770</v>
      </c>
      <c r="C42" s="392">
        <v>2.6</v>
      </c>
      <c r="E42" s="374" t="s">
        <v>2769</v>
      </c>
      <c r="F42" s="375"/>
      <c r="G42" s="376"/>
      <c r="H42" s="377">
        <v>1</v>
      </c>
      <c r="I42" s="597" t="str">
        <f>B11</f>
        <v>Health</v>
      </c>
      <c r="J42" s="598"/>
      <c r="K42" s="314"/>
      <c r="M42" s="314"/>
      <c r="N42" s="314"/>
      <c r="O42" s="314"/>
      <c r="P42" s="591"/>
      <c r="Q42" s="592"/>
      <c r="R42" s="593"/>
      <c r="S42" s="315"/>
      <c r="T42" s="314"/>
      <c r="U42" s="314"/>
      <c r="V42" s="314"/>
      <c r="W42" s="314"/>
      <c r="X42" s="314"/>
      <c r="Y42" s="314"/>
      <c r="Z42" s="314"/>
      <c r="AA42" s="314"/>
    </row>
    <row r="43" spans="1:27" ht="15.75" thickBot="1" x14ac:dyDescent="0.3">
      <c r="A43" s="314"/>
      <c r="B43" s="393" t="s">
        <v>2773</v>
      </c>
      <c r="C43" s="392">
        <v>1.7</v>
      </c>
      <c r="E43" s="374" t="s">
        <v>2771</v>
      </c>
      <c r="F43" s="375"/>
      <c r="G43" s="376"/>
      <c r="H43" s="377">
        <v>1.2</v>
      </c>
      <c r="I43" s="597" t="str">
        <f>B11</f>
        <v>Health</v>
      </c>
      <c r="J43" s="598"/>
      <c r="K43" s="314"/>
      <c r="M43" s="314"/>
      <c r="N43" s="314"/>
      <c r="O43" s="314"/>
      <c r="P43" s="594"/>
      <c r="Q43" s="595"/>
      <c r="R43" s="596"/>
      <c r="S43" s="315"/>
      <c r="T43" s="314"/>
      <c r="U43" s="314"/>
      <c r="V43" s="314"/>
      <c r="W43" s="314"/>
      <c r="X43" s="314"/>
      <c r="Y43" s="314"/>
      <c r="Z43" s="314"/>
      <c r="AA43" s="314"/>
    </row>
    <row r="44" spans="1:27" x14ac:dyDescent="0.25">
      <c r="A44" s="314"/>
      <c r="B44" s="393" t="s">
        <v>2775</v>
      </c>
      <c r="C44" s="392">
        <v>0.4</v>
      </c>
      <c r="E44" s="374" t="s">
        <v>2774</v>
      </c>
      <c r="F44" s="375"/>
      <c r="G44" s="376"/>
      <c r="H44" s="377">
        <v>1</v>
      </c>
      <c r="I44" s="597" t="str">
        <f>B16</f>
        <v>Lodging</v>
      </c>
      <c r="J44" s="598"/>
      <c r="K44" s="314"/>
      <c r="M44" s="314"/>
      <c r="N44" s="314"/>
      <c r="O44" s="314"/>
      <c r="P44" s="314"/>
      <c r="Q44" s="315"/>
      <c r="R44" s="314"/>
      <c r="S44" s="314"/>
      <c r="T44" s="314"/>
      <c r="U44" s="314"/>
      <c r="V44" s="314"/>
      <c r="W44" s="314"/>
      <c r="X44" s="314"/>
      <c r="Y44" s="314"/>
      <c r="Z44" s="314"/>
      <c r="AA44" s="314"/>
    </row>
    <row r="45" spans="1:27" x14ac:dyDescent="0.25">
      <c r="A45" s="314"/>
      <c r="B45" s="393" t="s">
        <v>2777</v>
      </c>
      <c r="C45" s="392">
        <v>0.5</v>
      </c>
      <c r="E45" s="374" t="s">
        <v>2776</v>
      </c>
      <c r="F45" s="375"/>
      <c r="G45" s="376"/>
      <c r="H45" s="377">
        <v>1.3</v>
      </c>
      <c r="I45" s="597" t="str">
        <f>B15</f>
        <v>Institutional/Public Service</v>
      </c>
      <c r="J45" s="598"/>
      <c r="K45" s="314"/>
      <c r="M45" s="314"/>
      <c r="N45" s="314"/>
      <c r="O45" s="314"/>
      <c r="P45" s="314"/>
      <c r="Q45" s="314"/>
      <c r="R45" s="315"/>
      <c r="S45" s="314"/>
      <c r="T45" s="314"/>
      <c r="U45" s="314"/>
      <c r="V45" s="314"/>
      <c r="W45" s="314"/>
      <c r="X45" s="314"/>
      <c r="Y45" s="314"/>
      <c r="Z45" s="314"/>
      <c r="AA45" s="314"/>
    </row>
    <row r="46" spans="1:27" x14ac:dyDescent="0.25">
      <c r="A46" s="314"/>
      <c r="B46" s="393" t="s">
        <v>2779</v>
      </c>
      <c r="C46" s="392">
        <v>0.7</v>
      </c>
      <c r="E46" s="374" t="s">
        <v>2778</v>
      </c>
      <c r="F46" s="375"/>
      <c r="G46" s="376"/>
      <c r="H46" s="377">
        <v>1.3</v>
      </c>
      <c r="I46" s="597" t="str">
        <f>B12</f>
        <v>Industrial/Manufacturing - 1 Shift</v>
      </c>
      <c r="J46" s="598"/>
      <c r="K46" s="314"/>
      <c r="M46" s="314"/>
      <c r="N46" s="314"/>
      <c r="O46" s="314"/>
      <c r="P46" s="314"/>
      <c r="Q46" s="314"/>
      <c r="R46" s="315"/>
      <c r="S46" s="314"/>
      <c r="T46" s="314"/>
      <c r="U46" s="314"/>
      <c r="V46" s="314"/>
      <c r="W46" s="314"/>
      <c r="X46" s="314"/>
      <c r="Y46" s="314"/>
      <c r="Z46" s="314"/>
      <c r="AA46" s="314"/>
    </row>
    <row r="47" spans="1:27" x14ac:dyDescent="0.25">
      <c r="A47" s="314"/>
      <c r="B47" s="393" t="s">
        <v>2781</v>
      </c>
      <c r="C47" s="392">
        <v>1.5</v>
      </c>
      <c r="E47" s="374" t="s">
        <v>2780</v>
      </c>
      <c r="F47" s="375"/>
      <c r="G47" s="376"/>
      <c r="H47" s="377">
        <v>1.3</v>
      </c>
      <c r="I47" s="601" t="str">
        <f>B13</f>
        <v>Industrial/Manufacturing - 2 Shift</v>
      </c>
      <c r="J47" s="602"/>
      <c r="K47" s="314"/>
      <c r="M47" s="314"/>
      <c r="N47" s="314"/>
      <c r="O47" s="314"/>
      <c r="P47" s="314"/>
      <c r="Q47" s="314"/>
      <c r="R47" s="315"/>
      <c r="S47" s="314"/>
      <c r="T47" s="314"/>
      <c r="U47" s="314"/>
      <c r="V47" s="314"/>
      <c r="W47" s="314"/>
      <c r="X47" s="314"/>
      <c r="Y47" s="314"/>
      <c r="Z47" s="314"/>
      <c r="AA47" s="314"/>
    </row>
    <row r="48" spans="1:27" x14ac:dyDescent="0.25">
      <c r="A48" s="314"/>
      <c r="B48" s="393" t="s">
        <v>2783</v>
      </c>
      <c r="C48" s="392">
        <v>1.4</v>
      </c>
      <c r="E48" s="374" t="s">
        <v>2782</v>
      </c>
      <c r="F48" s="375"/>
      <c r="G48" s="376"/>
      <c r="H48" s="377">
        <v>1.3</v>
      </c>
      <c r="I48" s="601" t="str">
        <f>B14</f>
        <v>Industrial/Manufacturing - 3 Shift</v>
      </c>
      <c r="J48" s="602"/>
      <c r="K48" s="314"/>
      <c r="M48" s="314"/>
      <c r="N48" s="314"/>
      <c r="O48" s="315"/>
      <c r="P48" s="315"/>
      <c r="Q48" s="314"/>
      <c r="R48" s="315"/>
      <c r="S48" s="314"/>
      <c r="T48" s="314"/>
      <c r="U48" s="314"/>
      <c r="V48" s="314"/>
      <c r="W48" s="314"/>
      <c r="X48" s="314"/>
      <c r="Y48" s="314"/>
      <c r="Z48" s="314"/>
      <c r="AA48" s="314"/>
    </row>
    <row r="49" spans="1:27" x14ac:dyDescent="0.25">
      <c r="A49" s="314"/>
      <c r="B49" s="393" t="s">
        <v>2785</v>
      </c>
      <c r="C49" s="392">
        <v>1.3</v>
      </c>
      <c r="E49" s="374" t="s">
        <v>2784</v>
      </c>
      <c r="F49" s="375"/>
      <c r="G49" s="376"/>
      <c r="H49" s="377">
        <v>1</v>
      </c>
      <c r="I49" s="597" t="str">
        <f>B16</f>
        <v>Lodging</v>
      </c>
      <c r="J49" s="598"/>
      <c r="K49" s="314"/>
      <c r="M49" s="314"/>
      <c r="N49" s="314"/>
      <c r="O49" s="315"/>
      <c r="P49" s="315"/>
      <c r="Q49" s="314"/>
      <c r="R49" s="315"/>
      <c r="S49" s="314"/>
      <c r="T49" s="314"/>
      <c r="U49" s="314"/>
      <c r="V49" s="314"/>
      <c r="W49" s="314"/>
      <c r="X49" s="314"/>
      <c r="Y49" s="314"/>
      <c r="Z49" s="314"/>
      <c r="AA49" s="314"/>
    </row>
    <row r="50" spans="1:27" x14ac:dyDescent="0.25">
      <c r="A50" s="314"/>
      <c r="B50" s="393" t="s">
        <v>2787</v>
      </c>
      <c r="C50" s="392">
        <v>1.3</v>
      </c>
      <c r="E50" s="374" t="s">
        <v>2786</v>
      </c>
      <c r="F50" s="375"/>
      <c r="G50" s="376"/>
      <c r="H50" s="377">
        <v>1.2</v>
      </c>
      <c r="I50" s="597" t="str">
        <f>B17</f>
        <v>Miscellaneous</v>
      </c>
      <c r="J50" s="598"/>
      <c r="K50" s="314"/>
      <c r="M50" s="314"/>
      <c r="N50" s="314"/>
      <c r="O50" s="315"/>
      <c r="P50" s="315"/>
      <c r="Q50" s="314"/>
      <c r="R50" s="315"/>
      <c r="S50" s="314"/>
      <c r="T50" s="314"/>
      <c r="U50" s="314"/>
      <c r="V50" s="314"/>
      <c r="W50" s="314"/>
      <c r="X50" s="314"/>
      <c r="Y50" s="314"/>
      <c r="Z50" s="314"/>
      <c r="AA50" s="314"/>
    </row>
    <row r="51" spans="1:27" x14ac:dyDescent="0.25">
      <c r="A51" s="314"/>
      <c r="B51" s="393" t="s">
        <v>2789</v>
      </c>
      <c r="C51" s="392">
        <v>1.3</v>
      </c>
      <c r="E51" s="374" t="s">
        <v>2788</v>
      </c>
      <c r="F51" s="375"/>
      <c r="G51" s="376"/>
      <c r="H51" s="377">
        <v>0.7</v>
      </c>
      <c r="I51" s="597" t="str">
        <f>B16</f>
        <v>Lodging</v>
      </c>
      <c r="J51" s="598"/>
      <c r="K51" s="314"/>
      <c r="M51" s="314"/>
      <c r="N51" s="314"/>
      <c r="O51" s="315"/>
      <c r="P51" s="315"/>
      <c r="Q51" s="314"/>
      <c r="R51" s="315"/>
      <c r="S51" s="314"/>
      <c r="T51" s="314"/>
      <c r="U51" s="314"/>
      <c r="V51" s="314"/>
      <c r="W51" s="314"/>
      <c r="X51" s="314"/>
      <c r="Y51" s="314"/>
      <c r="Z51" s="314"/>
      <c r="AA51" s="314"/>
    </row>
    <row r="52" spans="1:27" x14ac:dyDescent="0.25">
      <c r="A52" s="314"/>
      <c r="B52" s="393" t="s">
        <v>2791</v>
      </c>
      <c r="C52" s="392">
        <v>0.5</v>
      </c>
      <c r="E52" s="374" t="s">
        <v>2790</v>
      </c>
      <c r="F52" s="375"/>
      <c r="G52" s="376"/>
      <c r="H52" s="377">
        <v>1.1000000000000001</v>
      </c>
      <c r="I52" s="597" t="str">
        <f>B15</f>
        <v>Institutional/Public Service</v>
      </c>
      <c r="J52" s="598"/>
      <c r="K52" s="314"/>
      <c r="M52" s="314"/>
      <c r="N52" s="314"/>
      <c r="O52" s="315"/>
      <c r="P52" s="315"/>
      <c r="Q52" s="314"/>
      <c r="R52" s="315"/>
      <c r="S52" s="314"/>
      <c r="T52" s="314"/>
      <c r="U52" s="314"/>
      <c r="V52" s="314"/>
      <c r="W52" s="314"/>
      <c r="X52" s="314"/>
      <c r="Y52" s="314"/>
      <c r="Z52" s="314"/>
      <c r="AA52" s="314"/>
    </row>
    <row r="53" spans="1:27" x14ac:dyDescent="0.25">
      <c r="A53" s="314"/>
      <c r="B53" s="393" t="s">
        <v>2792</v>
      </c>
      <c r="C53" s="392">
        <v>1</v>
      </c>
      <c r="E53" s="374" t="s">
        <v>492</v>
      </c>
      <c r="F53" s="375"/>
      <c r="G53" s="376"/>
      <c r="H53" s="377">
        <v>1</v>
      </c>
      <c r="I53" s="597" t="str">
        <f>B18</f>
        <v>Office</v>
      </c>
      <c r="J53" s="598"/>
      <c r="K53" s="314"/>
      <c r="M53" s="314"/>
      <c r="N53" s="314"/>
      <c r="O53" s="315"/>
      <c r="P53" s="315"/>
      <c r="Q53" s="314"/>
      <c r="R53" s="315"/>
      <c r="S53" s="314"/>
      <c r="T53" s="314"/>
      <c r="U53" s="314"/>
      <c r="V53" s="314"/>
      <c r="W53" s="314"/>
      <c r="X53" s="314"/>
      <c r="Y53" s="314"/>
      <c r="Z53" s="314"/>
      <c r="AA53" s="314"/>
    </row>
    <row r="54" spans="1:27" x14ac:dyDescent="0.25">
      <c r="A54" s="314"/>
      <c r="B54" s="393" t="s">
        <v>2794</v>
      </c>
      <c r="C54" s="392">
        <v>0.5</v>
      </c>
      <c r="E54" s="374" t="s">
        <v>2793</v>
      </c>
      <c r="F54" s="375"/>
      <c r="G54" s="376"/>
      <c r="H54" s="377">
        <v>0.3</v>
      </c>
      <c r="I54" s="597" t="str">
        <f>B19</f>
        <v>Parking Garage</v>
      </c>
      <c r="J54" s="598"/>
      <c r="K54" s="314"/>
      <c r="M54" s="314"/>
      <c r="N54" s="314"/>
      <c r="O54" s="315"/>
      <c r="P54" s="315"/>
      <c r="Q54" s="314"/>
      <c r="R54" s="315"/>
      <c r="S54" s="314"/>
      <c r="T54" s="314"/>
      <c r="U54" s="314"/>
      <c r="V54" s="314"/>
      <c r="W54" s="314"/>
      <c r="X54" s="314"/>
      <c r="Y54" s="314"/>
      <c r="Z54" s="314"/>
      <c r="AA54" s="314"/>
    </row>
    <row r="55" spans="1:27" x14ac:dyDescent="0.25">
      <c r="A55" s="314"/>
      <c r="B55" s="393" t="s">
        <v>2796</v>
      </c>
      <c r="C55" s="392">
        <v>0.9</v>
      </c>
      <c r="E55" s="374" t="s">
        <v>2795</v>
      </c>
      <c r="F55" s="375"/>
      <c r="G55" s="376"/>
      <c r="H55" s="377">
        <v>1</v>
      </c>
      <c r="I55" s="597" t="s">
        <v>2724</v>
      </c>
      <c r="J55" s="598"/>
      <c r="K55" s="314"/>
      <c r="M55" s="314"/>
      <c r="N55" s="314"/>
      <c r="O55" s="315"/>
      <c r="P55" s="315"/>
      <c r="Q55" s="314"/>
      <c r="R55" s="315"/>
      <c r="S55" s="314"/>
      <c r="T55" s="314"/>
      <c r="U55" s="314"/>
      <c r="V55" s="314"/>
      <c r="W55" s="314"/>
      <c r="X55" s="314"/>
      <c r="Y55" s="314"/>
      <c r="Z55" s="314"/>
      <c r="AA55" s="314"/>
    </row>
    <row r="56" spans="1:27" x14ac:dyDescent="0.25">
      <c r="A56" s="314"/>
      <c r="B56" s="393" t="s">
        <v>2798</v>
      </c>
      <c r="C56" s="392">
        <v>1.9</v>
      </c>
      <c r="E56" s="374" t="s">
        <v>2797</v>
      </c>
      <c r="F56" s="375"/>
      <c r="G56" s="376"/>
      <c r="H56" s="377">
        <v>1.6</v>
      </c>
      <c r="I56" s="597" t="str">
        <f>B17</f>
        <v>Miscellaneous</v>
      </c>
      <c r="J56" s="598"/>
      <c r="K56" s="314"/>
      <c r="M56" s="314"/>
      <c r="N56" s="314"/>
      <c r="O56" s="315"/>
      <c r="P56" s="315"/>
      <c r="Q56" s="314"/>
      <c r="R56" s="315"/>
      <c r="S56" s="314"/>
      <c r="T56" s="314"/>
      <c r="U56" s="314"/>
      <c r="V56" s="314"/>
      <c r="W56" s="314"/>
      <c r="X56" s="314"/>
      <c r="Y56" s="314"/>
      <c r="Z56" s="314"/>
      <c r="AA56" s="314"/>
    </row>
    <row r="57" spans="1:27" x14ac:dyDescent="0.25">
      <c r="A57" s="314"/>
      <c r="B57" s="393" t="s">
        <v>2800</v>
      </c>
      <c r="C57" s="392">
        <v>1.3</v>
      </c>
      <c r="E57" s="374" t="s">
        <v>2799</v>
      </c>
      <c r="F57" s="375"/>
      <c r="G57" s="376"/>
      <c r="H57" s="377">
        <v>1</v>
      </c>
      <c r="I57" s="597" t="str">
        <f>B15</f>
        <v>Institutional/Public Service</v>
      </c>
      <c r="J57" s="598"/>
      <c r="K57" s="314"/>
      <c r="M57" s="314"/>
      <c r="N57" s="314"/>
      <c r="O57" s="315"/>
      <c r="P57" s="315"/>
      <c r="Q57" s="314"/>
      <c r="R57" s="315"/>
      <c r="S57" s="314"/>
      <c r="T57" s="314"/>
      <c r="U57" s="314"/>
      <c r="V57" s="314"/>
      <c r="W57" s="314"/>
      <c r="X57" s="314"/>
      <c r="Y57" s="314"/>
      <c r="Z57" s="314"/>
      <c r="AA57" s="314"/>
    </row>
    <row r="58" spans="1:27" x14ac:dyDescent="0.25">
      <c r="A58" s="314"/>
      <c r="B58" s="393" t="s">
        <v>2802</v>
      </c>
      <c r="C58" s="392">
        <v>0.9</v>
      </c>
      <c r="E58" s="374" t="s">
        <v>2801</v>
      </c>
      <c r="F58" s="375"/>
      <c r="G58" s="376"/>
      <c r="H58" s="377">
        <v>1.1000000000000001</v>
      </c>
      <c r="I58" s="597" t="str">
        <f>B15</f>
        <v>Institutional/Public Service</v>
      </c>
      <c r="J58" s="598"/>
      <c r="K58" s="314"/>
      <c r="M58" s="314"/>
      <c r="N58" s="314"/>
      <c r="O58" s="315"/>
      <c r="P58" s="315"/>
      <c r="Q58" s="314"/>
      <c r="R58" s="315"/>
      <c r="S58" s="314"/>
      <c r="T58" s="314"/>
      <c r="U58" s="314"/>
      <c r="V58" s="314"/>
      <c r="W58" s="314"/>
      <c r="X58" s="314"/>
      <c r="Y58" s="314"/>
      <c r="Z58" s="314"/>
      <c r="AA58" s="314"/>
    </row>
    <row r="59" spans="1:27" x14ac:dyDescent="0.25">
      <c r="A59" s="314"/>
      <c r="B59" s="393" t="s">
        <v>2804</v>
      </c>
      <c r="C59" s="392">
        <v>1.4</v>
      </c>
      <c r="E59" s="374" t="s">
        <v>2803</v>
      </c>
      <c r="F59" s="375"/>
      <c r="G59" s="376"/>
      <c r="H59" s="377">
        <v>1.3</v>
      </c>
      <c r="I59" s="597" t="str">
        <f>B15</f>
        <v>Institutional/Public Service</v>
      </c>
      <c r="J59" s="598"/>
      <c r="K59" s="314"/>
      <c r="M59" s="314"/>
      <c r="N59" s="314"/>
      <c r="O59" s="315"/>
      <c r="P59" s="315"/>
      <c r="Q59" s="314"/>
      <c r="R59" s="315"/>
      <c r="S59" s="314"/>
      <c r="T59" s="314"/>
      <c r="U59" s="314"/>
      <c r="V59" s="314"/>
      <c r="W59" s="314"/>
      <c r="X59" s="314"/>
      <c r="Y59" s="314"/>
      <c r="Z59" s="314"/>
      <c r="AA59" s="314"/>
    </row>
    <row r="60" spans="1:27" x14ac:dyDescent="0.25">
      <c r="A60" s="314"/>
      <c r="B60" s="393" t="s">
        <v>2805</v>
      </c>
      <c r="C60" s="392">
        <v>2.1</v>
      </c>
      <c r="E60" s="374" t="s">
        <v>2740</v>
      </c>
      <c r="F60" s="375"/>
      <c r="G60" s="376"/>
      <c r="H60" s="377">
        <v>1.5</v>
      </c>
      <c r="I60" s="597" t="str">
        <f>B21</f>
        <v>Retail</v>
      </c>
      <c r="J60" s="598"/>
      <c r="K60" s="314"/>
      <c r="M60" s="314"/>
      <c r="N60" s="314"/>
      <c r="O60" s="315"/>
      <c r="P60" s="315"/>
      <c r="Q60" s="314"/>
      <c r="R60" s="315"/>
      <c r="S60" s="314"/>
      <c r="T60" s="314"/>
      <c r="U60" s="314"/>
      <c r="V60" s="314"/>
      <c r="W60" s="314"/>
      <c r="X60" s="314"/>
      <c r="Y60" s="314"/>
      <c r="Z60" s="314"/>
      <c r="AA60" s="314"/>
    </row>
    <row r="61" spans="1:27" x14ac:dyDescent="0.25">
      <c r="A61" s="314"/>
      <c r="B61" s="393" t="s">
        <v>2807</v>
      </c>
      <c r="C61" s="392">
        <v>1.3</v>
      </c>
      <c r="E61" s="374" t="s">
        <v>2806</v>
      </c>
      <c r="F61" s="375"/>
      <c r="G61" s="376"/>
      <c r="H61" s="377">
        <v>1.2</v>
      </c>
      <c r="I61" s="597" t="str">
        <f>B8</f>
        <v>Education</v>
      </c>
      <c r="J61" s="598"/>
      <c r="K61" s="314"/>
      <c r="M61" s="314"/>
      <c r="N61" s="314"/>
      <c r="O61" s="315"/>
      <c r="P61" s="315"/>
      <c r="Q61" s="314"/>
      <c r="R61" s="315"/>
      <c r="S61" s="314"/>
      <c r="T61" s="314"/>
      <c r="U61" s="314"/>
      <c r="V61" s="314"/>
      <c r="W61" s="314"/>
      <c r="X61" s="314"/>
      <c r="Y61" s="314"/>
      <c r="Z61" s="314"/>
      <c r="AA61" s="314"/>
    </row>
    <row r="62" spans="1:27" x14ac:dyDescent="0.25">
      <c r="A62" s="314"/>
      <c r="B62" s="393" t="s">
        <v>2809</v>
      </c>
      <c r="C62" s="392">
        <v>1.2</v>
      </c>
      <c r="E62" s="374" t="s">
        <v>2808</v>
      </c>
      <c r="F62" s="375"/>
      <c r="G62" s="376"/>
      <c r="H62" s="377">
        <v>1.1000000000000001</v>
      </c>
      <c r="I62" s="597" t="str">
        <f>B17</f>
        <v>Miscellaneous</v>
      </c>
      <c r="J62" s="598"/>
      <c r="K62" s="314"/>
      <c r="M62" s="314"/>
      <c r="N62" s="314"/>
      <c r="O62" s="315"/>
      <c r="P62" s="315"/>
      <c r="Q62" s="314"/>
      <c r="R62" s="315"/>
      <c r="S62" s="314"/>
      <c r="T62" s="314"/>
      <c r="U62" s="314"/>
      <c r="V62" s="314"/>
      <c r="W62" s="314"/>
      <c r="X62" s="314"/>
      <c r="Y62" s="314"/>
      <c r="Z62" s="314"/>
      <c r="AA62" s="314"/>
    </row>
    <row r="63" spans="1:27" x14ac:dyDescent="0.25">
      <c r="A63" s="314"/>
      <c r="B63" s="393" t="s">
        <v>2811</v>
      </c>
      <c r="C63" s="392">
        <v>1.3</v>
      </c>
      <c r="E63" s="386" t="s">
        <v>2741</v>
      </c>
      <c r="F63" s="387"/>
      <c r="G63" s="388"/>
      <c r="H63" s="389"/>
      <c r="I63" s="390" t="s">
        <v>2741</v>
      </c>
      <c r="J63" s="391"/>
      <c r="K63" s="314"/>
      <c r="M63" s="314"/>
      <c r="N63" s="314"/>
      <c r="O63" s="315"/>
      <c r="P63" s="315"/>
      <c r="Q63" s="314"/>
      <c r="R63" s="315"/>
      <c r="S63" s="314"/>
      <c r="T63" s="314"/>
      <c r="U63" s="314"/>
      <c r="V63" s="314"/>
      <c r="W63" s="314"/>
      <c r="X63" s="314"/>
      <c r="Y63" s="314"/>
      <c r="Z63" s="314"/>
      <c r="AA63" s="314"/>
    </row>
    <row r="64" spans="1:27" x14ac:dyDescent="0.25">
      <c r="A64" s="314"/>
      <c r="B64" s="393" t="s">
        <v>2813</v>
      </c>
      <c r="C64" s="392">
        <v>1.1000000000000001</v>
      </c>
      <c r="E64" s="374" t="s">
        <v>2810</v>
      </c>
      <c r="F64" s="375"/>
      <c r="G64" s="376"/>
      <c r="H64" s="377">
        <v>1.1000000000000001</v>
      </c>
      <c r="I64" s="597" t="str">
        <f>B15</f>
        <v>Institutional/Public Service</v>
      </c>
      <c r="J64" s="598"/>
      <c r="K64" s="314"/>
      <c r="M64" s="314"/>
      <c r="N64" s="314"/>
      <c r="O64" s="315"/>
      <c r="P64" s="315"/>
      <c r="Q64" s="314"/>
      <c r="R64" s="315"/>
      <c r="S64" s="314"/>
      <c r="T64" s="314"/>
      <c r="U64" s="314"/>
      <c r="V64" s="314"/>
      <c r="W64" s="314"/>
      <c r="X64" s="314"/>
      <c r="Y64" s="314"/>
      <c r="Z64" s="314"/>
      <c r="AA64" s="314"/>
    </row>
    <row r="65" spans="1:27" x14ac:dyDescent="0.25">
      <c r="A65" s="314"/>
      <c r="B65" s="393" t="s">
        <v>2814</v>
      </c>
      <c r="C65" s="392">
        <v>0.6</v>
      </c>
      <c r="E65" s="374" t="s">
        <v>2812</v>
      </c>
      <c r="F65" s="375"/>
      <c r="G65" s="376"/>
      <c r="H65" s="377">
        <v>1</v>
      </c>
      <c r="I65" s="597" t="str">
        <f>B15</f>
        <v>Institutional/Public Service</v>
      </c>
      <c r="J65" s="598"/>
      <c r="K65" s="314"/>
      <c r="M65" s="314"/>
      <c r="N65" s="314"/>
      <c r="O65" s="315"/>
      <c r="P65" s="315"/>
      <c r="Q65" s="314"/>
      <c r="R65" s="315"/>
      <c r="S65" s="314"/>
      <c r="T65" s="314"/>
      <c r="U65" s="314"/>
      <c r="V65" s="314"/>
      <c r="W65" s="314"/>
      <c r="X65" s="314"/>
      <c r="Y65" s="314"/>
      <c r="Z65" s="314"/>
      <c r="AA65" s="314"/>
    </row>
    <row r="66" spans="1:27" x14ac:dyDescent="0.25">
      <c r="A66" s="314"/>
      <c r="B66" s="393" t="s">
        <v>2816</v>
      </c>
      <c r="C66" s="392">
        <v>1.5</v>
      </c>
      <c r="E66" s="374" t="s">
        <v>2743</v>
      </c>
      <c r="F66" s="375"/>
      <c r="G66" s="376"/>
      <c r="H66" s="377">
        <v>0.8</v>
      </c>
      <c r="I66" s="597" t="str">
        <f>B23</f>
        <v>Warehouse</v>
      </c>
      <c r="J66" s="598"/>
      <c r="K66" s="314"/>
      <c r="M66" s="314"/>
      <c r="N66" s="314"/>
      <c r="O66" s="315"/>
      <c r="P66" s="315"/>
      <c r="Q66" s="314"/>
      <c r="R66" s="315"/>
      <c r="S66" s="314"/>
      <c r="T66" s="314"/>
      <c r="U66" s="314"/>
      <c r="V66" s="314"/>
      <c r="W66" s="314"/>
      <c r="X66" s="314"/>
      <c r="Y66" s="314"/>
      <c r="Z66" s="314"/>
      <c r="AA66" s="314"/>
    </row>
    <row r="67" spans="1:27" ht="15.75" thickBot="1" x14ac:dyDescent="0.3">
      <c r="A67" s="314"/>
      <c r="B67" s="393" t="s">
        <v>2817</v>
      </c>
      <c r="C67" s="392">
        <v>0.8</v>
      </c>
      <c r="E67" s="378" t="s">
        <v>2815</v>
      </c>
      <c r="F67" s="379"/>
      <c r="G67" s="380"/>
      <c r="H67" s="381">
        <v>1.4</v>
      </c>
      <c r="I67" s="599" t="str">
        <f>B17</f>
        <v>Miscellaneous</v>
      </c>
      <c r="J67" s="600"/>
      <c r="K67" s="314"/>
      <c r="M67" s="314"/>
      <c r="N67" s="314"/>
      <c r="O67" s="315"/>
      <c r="P67" s="315"/>
      <c r="Q67" s="314"/>
      <c r="R67" s="315"/>
      <c r="S67" s="314"/>
      <c r="T67" s="314"/>
      <c r="U67" s="314"/>
      <c r="V67" s="314"/>
      <c r="W67" s="314"/>
      <c r="X67" s="314"/>
      <c r="Y67" s="314"/>
      <c r="Z67" s="314"/>
      <c r="AA67" s="314"/>
    </row>
    <row r="68" spans="1:27" x14ac:dyDescent="0.25">
      <c r="A68" s="314"/>
      <c r="B68" s="393" t="s">
        <v>2818</v>
      </c>
      <c r="C68" s="392">
        <v>0.3</v>
      </c>
      <c r="E68" s="588" t="s">
        <v>3020</v>
      </c>
      <c r="F68" s="589"/>
      <c r="G68" s="589"/>
      <c r="H68" s="589"/>
      <c r="I68" s="589"/>
      <c r="J68" s="590"/>
      <c r="K68" s="314"/>
      <c r="M68" s="314"/>
      <c r="N68" s="314"/>
      <c r="O68" s="315"/>
      <c r="P68" s="315"/>
      <c r="Q68" s="314"/>
      <c r="R68" s="315"/>
      <c r="S68" s="314"/>
      <c r="T68" s="314"/>
      <c r="U68" s="314"/>
      <c r="V68" s="314"/>
      <c r="W68" s="314"/>
      <c r="X68" s="314"/>
      <c r="Y68" s="314"/>
      <c r="Z68" s="314"/>
      <c r="AA68" s="314"/>
    </row>
    <row r="69" spans="1:27" x14ac:dyDescent="0.25">
      <c r="A69" s="314"/>
      <c r="B69" s="393" t="s">
        <v>2819</v>
      </c>
      <c r="C69" s="392">
        <v>1.2</v>
      </c>
      <c r="E69" s="591"/>
      <c r="F69" s="592"/>
      <c r="G69" s="592"/>
      <c r="H69" s="592"/>
      <c r="I69" s="592"/>
      <c r="J69" s="593"/>
      <c r="K69" s="314"/>
      <c r="M69" s="314"/>
      <c r="N69"/>
      <c r="O69"/>
      <c r="P69" s="315"/>
      <c r="Q69" s="314"/>
      <c r="R69" s="315"/>
      <c r="S69" s="314"/>
      <c r="T69" s="314"/>
      <c r="U69" s="314"/>
      <c r="V69" s="314"/>
      <c r="W69" s="314"/>
      <c r="X69" s="314"/>
      <c r="Y69" s="314"/>
      <c r="Z69" s="314"/>
      <c r="AA69" s="314"/>
    </row>
    <row r="70" spans="1:27" ht="15.75" thickBot="1" x14ac:dyDescent="0.3">
      <c r="A70" s="314"/>
      <c r="B70" s="393" t="s">
        <v>2820</v>
      </c>
      <c r="C70" s="392">
        <v>0.9</v>
      </c>
      <c r="E70" s="594"/>
      <c r="F70" s="595"/>
      <c r="G70" s="595"/>
      <c r="H70" s="595"/>
      <c r="I70" s="595"/>
      <c r="J70" s="596"/>
      <c r="K70" s="314"/>
      <c r="M70" s="314"/>
      <c r="N70"/>
      <c r="O70"/>
      <c r="P70" s="315"/>
      <c r="Q70" s="314"/>
      <c r="R70" s="315"/>
      <c r="S70" s="314"/>
      <c r="T70" s="314"/>
      <c r="U70" s="314"/>
      <c r="V70" s="314"/>
      <c r="W70" s="314"/>
      <c r="X70" s="314"/>
      <c r="Y70" s="314"/>
      <c r="Z70" s="314"/>
      <c r="AA70" s="314"/>
    </row>
    <row r="71" spans="1:27" x14ac:dyDescent="0.25">
      <c r="A71" s="314"/>
      <c r="B71" s="393" t="s">
        <v>2821</v>
      </c>
      <c r="C71" s="392">
        <v>1.4</v>
      </c>
      <c r="G71" s="314"/>
      <c r="H71" s="314"/>
      <c r="I71" s="314"/>
      <c r="J71" s="314"/>
      <c r="K71" s="314"/>
      <c r="M71" s="314"/>
      <c r="N71"/>
      <c r="O71"/>
      <c r="P71" s="315"/>
      <c r="Q71" s="314"/>
      <c r="R71" s="315"/>
      <c r="S71" s="314"/>
      <c r="T71" s="314"/>
      <c r="U71" s="314"/>
      <c r="V71" s="314"/>
      <c r="W71" s="314"/>
      <c r="X71" s="314"/>
      <c r="Y71" s="314"/>
      <c r="Z71" s="314"/>
      <c r="AA71" s="314"/>
    </row>
    <row r="72" spans="1:27" x14ac:dyDescent="0.25">
      <c r="A72" s="314"/>
      <c r="B72" s="393" t="s">
        <v>2822</v>
      </c>
      <c r="C72" s="392">
        <v>2.7</v>
      </c>
      <c r="G72" s="314"/>
      <c r="H72" s="314"/>
      <c r="I72" s="314"/>
      <c r="J72" s="314"/>
      <c r="K72" s="314"/>
      <c r="M72" s="314"/>
      <c r="N72"/>
      <c r="O72"/>
      <c r="P72" s="315"/>
      <c r="Q72" s="314"/>
      <c r="R72" s="315"/>
      <c r="S72" s="314"/>
      <c r="T72" s="314"/>
      <c r="U72" s="314"/>
      <c r="V72" s="314"/>
      <c r="W72" s="314"/>
      <c r="X72" s="314"/>
      <c r="Y72" s="314"/>
      <c r="Z72" s="314"/>
      <c r="AA72" s="314"/>
    </row>
    <row r="73" spans="1:27" x14ac:dyDescent="0.25">
      <c r="A73" s="314"/>
      <c r="B73" s="393" t="s">
        <v>2823</v>
      </c>
      <c r="C73" s="392">
        <v>1.5</v>
      </c>
      <c r="G73" s="314"/>
      <c r="H73" s="314"/>
      <c r="I73" s="314"/>
      <c r="J73" s="314"/>
      <c r="K73" s="314"/>
      <c r="M73" s="314"/>
      <c r="N73"/>
      <c r="O73"/>
      <c r="P73" s="315"/>
      <c r="Q73" s="314"/>
      <c r="R73" s="315"/>
      <c r="S73" s="314"/>
      <c r="T73" s="314"/>
      <c r="U73" s="314"/>
      <c r="V73" s="314"/>
      <c r="W73" s="314"/>
      <c r="X73" s="314"/>
      <c r="Y73" s="314"/>
      <c r="Z73" s="314"/>
      <c r="AA73" s="314"/>
    </row>
    <row r="74" spans="1:27" x14ac:dyDescent="0.25">
      <c r="A74" s="314"/>
      <c r="B74" s="393" t="s">
        <v>2824</v>
      </c>
      <c r="C74" s="392">
        <v>0.6</v>
      </c>
      <c r="G74" s="314"/>
      <c r="H74" s="314"/>
      <c r="I74" s="314"/>
      <c r="J74" s="314"/>
      <c r="K74" s="314"/>
      <c r="M74" s="314"/>
      <c r="N74"/>
      <c r="O74"/>
      <c r="P74" s="315"/>
      <c r="Q74" s="314"/>
      <c r="R74" s="315"/>
      <c r="S74" s="314"/>
      <c r="T74" s="314"/>
      <c r="U74" s="314"/>
      <c r="V74" s="314"/>
      <c r="W74" s="314"/>
      <c r="X74" s="314"/>
      <c r="Y74" s="314"/>
      <c r="Z74" s="314"/>
      <c r="AA74" s="314"/>
    </row>
    <row r="75" spans="1:27" x14ac:dyDescent="0.25">
      <c r="A75" s="314"/>
      <c r="B75" s="393" t="s">
        <v>2825</v>
      </c>
      <c r="C75" s="392">
        <v>1.4</v>
      </c>
      <c r="G75" s="314"/>
      <c r="H75" s="314"/>
      <c r="I75" s="314"/>
      <c r="J75" s="314"/>
      <c r="K75" s="314"/>
      <c r="M75" s="314"/>
      <c r="N75"/>
      <c r="O75"/>
      <c r="P75" s="315"/>
      <c r="Q75" s="314"/>
      <c r="R75" s="315"/>
      <c r="S75" s="314"/>
      <c r="T75" s="314"/>
      <c r="U75" s="314"/>
      <c r="V75" s="314"/>
      <c r="W75" s="314"/>
      <c r="X75" s="314"/>
      <c r="Y75" s="314"/>
      <c r="Z75" s="314"/>
      <c r="AA75" s="314"/>
    </row>
    <row r="76" spans="1:27" x14ac:dyDescent="0.25">
      <c r="A76" s="314"/>
      <c r="B76" s="393" t="s">
        <v>2826</v>
      </c>
      <c r="C76" s="392">
        <v>0.6</v>
      </c>
      <c r="G76" s="314"/>
      <c r="H76" s="314"/>
      <c r="I76" s="314"/>
      <c r="J76" s="314"/>
      <c r="K76" s="314"/>
      <c r="M76" s="314"/>
      <c r="N76"/>
      <c r="O76"/>
      <c r="P76" s="315"/>
      <c r="Q76" s="314"/>
      <c r="R76" s="315"/>
      <c r="S76" s="314"/>
      <c r="T76" s="314"/>
      <c r="U76" s="314"/>
      <c r="V76" s="314"/>
      <c r="W76" s="314"/>
      <c r="X76" s="314"/>
      <c r="Y76" s="314"/>
      <c r="Z76" s="314"/>
      <c r="AA76" s="314"/>
    </row>
    <row r="77" spans="1:27" x14ac:dyDescent="0.25">
      <c r="A77" s="314"/>
      <c r="B77" s="393" t="s">
        <v>2827</v>
      </c>
      <c r="C77" s="392">
        <v>1</v>
      </c>
      <c r="G77" s="314"/>
      <c r="H77" s="314"/>
      <c r="I77" s="314"/>
      <c r="J77" s="314"/>
      <c r="K77" s="314"/>
      <c r="M77" s="314"/>
      <c r="N77"/>
      <c r="O77"/>
      <c r="P77" s="315"/>
      <c r="Q77" s="314"/>
      <c r="R77" s="315"/>
      <c r="S77" s="314"/>
      <c r="T77" s="314"/>
      <c r="U77" s="314"/>
      <c r="V77" s="314"/>
      <c r="W77" s="314"/>
      <c r="X77" s="314"/>
      <c r="Y77" s="314"/>
      <c r="Z77" s="314"/>
      <c r="AA77" s="314"/>
    </row>
    <row r="78" spans="1:27" x14ac:dyDescent="0.25">
      <c r="A78" s="314"/>
      <c r="B78" s="393" t="s">
        <v>2828</v>
      </c>
      <c r="C78" s="392">
        <v>2.2000000000000002</v>
      </c>
      <c r="G78" s="314"/>
      <c r="H78" s="314"/>
      <c r="I78" s="314"/>
      <c r="J78" s="314"/>
      <c r="K78" s="314"/>
      <c r="M78" s="314"/>
      <c r="N78"/>
      <c r="O78"/>
      <c r="P78" s="315"/>
      <c r="Q78" s="314"/>
      <c r="R78" s="315"/>
      <c r="S78" s="314"/>
      <c r="T78" s="314"/>
      <c r="U78" s="314"/>
      <c r="V78" s="314"/>
      <c r="W78" s="314"/>
      <c r="X78" s="314"/>
      <c r="Y78" s="314"/>
      <c r="Z78" s="314"/>
      <c r="AA78" s="314"/>
    </row>
    <row r="79" spans="1:27" x14ac:dyDescent="0.25">
      <c r="A79" s="314"/>
      <c r="B79" s="393" t="s">
        <v>2829</v>
      </c>
      <c r="C79" s="392">
        <v>0.7</v>
      </c>
      <c r="G79" s="314"/>
      <c r="H79" s="314"/>
      <c r="I79" s="314"/>
      <c r="J79" s="314"/>
      <c r="K79" s="314"/>
      <c r="M79" s="314"/>
      <c r="N79"/>
      <c r="O79"/>
      <c r="P79" s="315"/>
      <c r="Q79" s="314"/>
      <c r="R79" s="315"/>
      <c r="S79" s="314"/>
      <c r="T79" s="314"/>
      <c r="U79" s="314"/>
      <c r="V79" s="314"/>
      <c r="W79" s="314"/>
      <c r="X79" s="314"/>
      <c r="Y79" s="314"/>
      <c r="Z79" s="314"/>
      <c r="AA79" s="314"/>
    </row>
    <row r="80" spans="1:27" x14ac:dyDescent="0.25">
      <c r="A80" s="314"/>
      <c r="B80" s="393" t="s">
        <v>2830</v>
      </c>
      <c r="C80" s="392">
        <v>1.2</v>
      </c>
      <c r="G80" s="314"/>
      <c r="H80" s="314"/>
      <c r="I80" s="314"/>
      <c r="J80" s="314"/>
      <c r="K80" s="314"/>
      <c r="M80" s="314"/>
      <c r="N80"/>
      <c r="O80"/>
      <c r="P80" s="315"/>
      <c r="Q80" s="314"/>
      <c r="R80" s="315"/>
      <c r="S80" s="314"/>
      <c r="T80" s="314"/>
      <c r="U80" s="314"/>
      <c r="V80" s="314"/>
      <c r="W80" s="314"/>
      <c r="X80" s="314"/>
      <c r="Y80" s="314"/>
      <c r="Z80" s="314"/>
      <c r="AA80" s="314"/>
    </row>
    <row r="81" spans="1:27" x14ac:dyDescent="0.25">
      <c r="A81" s="314"/>
      <c r="B81" s="393" t="s">
        <v>2831</v>
      </c>
      <c r="C81" s="392">
        <v>0.9</v>
      </c>
      <c r="G81" s="314"/>
      <c r="H81" s="314"/>
      <c r="I81" s="314"/>
      <c r="J81" s="314"/>
      <c r="K81" s="314"/>
      <c r="M81" s="314"/>
      <c r="N81"/>
      <c r="O81"/>
      <c r="P81" s="315"/>
      <c r="Q81" s="314"/>
      <c r="R81" s="315"/>
      <c r="S81" s="314"/>
      <c r="T81" s="314"/>
      <c r="U81" s="314"/>
      <c r="V81" s="314"/>
      <c r="W81" s="314"/>
      <c r="X81" s="314"/>
      <c r="Y81" s="314"/>
      <c r="Z81" s="314"/>
      <c r="AA81" s="314"/>
    </row>
    <row r="82" spans="1:27" x14ac:dyDescent="0.25">
      <c r="A82" s="314"/>
      <c r="B82" s="393" t="s">
        <v>2832</v>
      </c>
      <c r="C82" s="392">
        <v>0.4</v>
      </c>
      <c r="G82" s="314"/>
      <c r="H82" s="314"/>
      <c r="I82" s="314"/>
      <c r="J82" s="314"/>
      <c r="K82" s="314"/>
      <c r="M82" s="314"/>
      <c r="N82"/>
      <c r="O82"/>
      <c r="P82" s="315"/>
      <c r="Q82" s="314"/>
      <c r="R82" s="315"/>
      <c r="S82" s="314"/>
      <c r="T82" s="314"/>
      <c r="U82" s="314"/>
      <c r="V82" s="314"/>
      <c r="W82" s="314"/>
      <c r="X82" s="314"/>
      <c r="Y82" s="314"/>
      <c r="Z82" s="314"/>
      <c r="AA82" s="314"/>
    </row>
    <row r="83" spans="1:27" x14ac:dyDescent="0.25">
      <c r="A83" s="314"/>
      <c r="B83" s="393" t="s">
        <v>2833</v>
      </c>
      <c r="C83" s="392">
        <v>0.8</v>
      </c>
      <c r="G83" s="314"/>
      <c r="H83" s="314"/>
      <c r="I83" s="314"/>
      <c r="J83" s="314"/>
      <c r="K83" s="314"/>
      <c r="M83" s="314"/>
      <c r="N83"/>
      <c r="O83"/>
      <c r="P83" s="315"/>
      <c r="Q83" s="314"/>
      <c r="R83" s="315"/>
      <c r="S83" s="314"/>
      <c r="T83" s="314"/>
      <c r="U83" s="314"/>
      <c r="V83" s="314"/>
      <c r="W83" s="314"/>
      <c r="X83" s="314"/>
      <c r="Y83" s="314"/>
      <c r="Z83" s="314"/>
      <c r="AA83" s="314"/>
    </row>
    <row r="84" spans="1:27" x14ac:dyDescent="0.25">
      <c r="A84" s="314"/>
      <c r="B84" s="393" t="s">
        <v>2834</v>
      </c>
      <c r="C84" s="392">
        <v>1.1000000000000001</v>
      </c>
      <c r="G84" s="314"/>
      <c r="H84" s="314"/>
      <c r="I84" s="314"/>
      <c r="J84" s="314"/>
      <c r="K84" s="314"/>
      <c r="M84" s="314"/>
      <c r="N84"/>
      <c r="O84"/>
      <c r="P84" s="315"/>
      <c r="Q84" s="314"/>
      <c r="R84" s="315"/>
      <c r="S84" s="314"/>
      <c r="T84" s="314"/>
      <c r="U84" s="314"/>
      <c r="V84" s="314"/>
      <c r="W84" s="314"/>
      <c r="X84" s="314"/>
      <c r="Y84" s="314"/>
      <c r="Z84" s="314"/>
      <c r="AA84" s="314"/>
    </row>
    <row r="85" spans="1:27" x14ac:dyDescent="0.25">
      <c r="A85" s="314"/>
      <c r="B85" s="393" t="s">
        <v>2835</v>
      </c>
      <c r="C85" s="392">
        <v>0.3</v>
      </c>
      <c r="G85" s="314"/>
      <c r="H85" s="314"/>
      <c r="I85" s="314"/>
      <c r="J85" s="314"/>
      <c r="K85" s="314"/>
      <c r="M85" s="314"/>
      <c r="N85"/>
      <c r="O85"/>
      <c r="P85" s="315"/>
      <c r="Q85" s="314"/>
      <c r="R85" s="315"/>
      <c r="S85" s="314"/>
      <c r="T85" s="314"/>
      <c r="U85" s="314"/>
      <c r="V85" s="314"/>
      <c r="W85" s="314"/>
      <c r="X85" s="314"/>
      <c r="Y85" s="314"/>
      <c r="Z85" s="314"/>
      <c r="AA85" s="314"/>
    </row>
    <row r="86" spans="1:27" x14ac:dyDescent="0.25">
      <c r="A86" s="314"/>
      <c r="B86" s="393" t="s">
        <v>2836</v>
      </c>
      <c r="C86" s="392">
        <v>0.8</v>
      </c>
      <c r="G86" s="314"/>
      <c r="H86" s="314"/>
      <c r="I86" s="314"/>
      <c r="J86" s="314"/>
      <c r="K86" s="314"/>
      <c r="M86" s="314"/>
      <c r="N86"/>
      <c r="O86"/>
      <c r="P86" s="315"/>
      <c r="Q86" s="314"/>
      <c r="R86" s="315"/>
      <c r="S86" s="314"/>
      <c r="T86" s="314"/>
      <c r="U86" s="314"/>
      <c r="V86" s="314"/>
      <c r="W86" s="314"/>
      <c r="X86" s="314"/>
      <c r="Y86" s="314"/>
      <c r="Z86" s="314"/>
      <c r="AA86" s="314"/>
    </row>
    <row r="87" spans="1:27" x14ac:dyDescent="0.25">
      <c r="A87" s="314"/>
      <c r="B87" s="393" t="s">
        <v>2837</v>
      </c>
      <c r="C87" s="392">
        <v>1.4</v>
      </c>
      <c r="G87" s="314"/>
      <c r="H87" s="314"/>
      <c r="I87" s="314"/>
      <c r="J87" s="314"/>
      <c r="K87" s="314"/>
      <c r="M87" s="314"/>
      <c r="N87"/>
      <c r="O87"/>
      <c r="P87" s="315"/>
      <c r="Q87" s="314"/>
      <c r="R87" s="315"/>
      <c r="S87" s="314"/>
      <c r="T87" s="314"/>
      <c r="U87" s="314"/>
      <c r="V87" s="314"/>
      <c r="W87" s="314"/>
      <c r="X87" s="314"/>
      <c r="Y87" s="314"/>
      <c r="Z87" s="314"/>
      <c r="AA87" s="314"/>
    </row>
    <row r="88" spans="1:27" x14ac:dyDescent="0.25">
      <c r="A88" s="314"/>
      <c r="B88" s="393" t="s">
        <v>2838</v>
      </c>
      <c r="C88" s="392">
        <v>1.1000000000000001</v>
      </c>
      <c r="G88" s="314"/>
      <c r="H88" s="314"/>
      <c r="I88" s="314"/>
      <c r="J88" s="314"/>
      <c r="K88" s="314"/>
      <c r="M88" s="314"/>
      <c r="N88"/>
      <c r="O88"/>
      <c r="P88" s="315"/>
      <c r="Q88" s="314"/>
      <c r="R88" s="315"/>
      <c r="S88" s="314"/>
      <c r="T88" s="314"/>
      <c r="U88" s="314"/>
      <c r="V88" s="314"/>
      <c r="W88" s="314"/>
      <c r="X88" s="314"/>
      <c r="Y88" s="314"/>
      <c r="Z88" s="314"/>
      <c r="AA88" s="314"/>
    </row>
    <row r="89" spans="1:27" x14ac:dyDescent="0.25">
      <c r="A89" s="314"/>
      <c r="B89" s="393" t="s">
        <v>2839</v>
      </c>
      <c r="C89" s="392">
        <v>1.2</v>
      </c>
      <c r="G89" s="314"/>
      <c r="H89" s="314"/>
      <c r="I89" s="314"/>
      <c r="J89" s="314"/>
      <c r="K89" s="314"/>
      <c r="M89" s="314"/>
      <c r="N89"/>
      <c r="O89"/>
      <c r="P89" s="315"/>
      <c r="Q89" s="314"/>
      <c r="R89" s="315"/>
      <c r="S89" s="314"/>
      <c r="T89" s="314"/>
      <c r="U89" s="314"/>
      <c r="V89" s="314"/>
      <c r="W89" s="314"/>
      <c r="X89" s="314"/>
      <c r="Y89" s="314"/>
      <c r="Z89" s="314"/>
      <c r="AA89" s="314"/>
    </row>
    <row r="90" spans="1:27" x14ac:dyDescent="0.25">
      <c r="A90" s="314"/>
      <c r="B90" s="393" t="s">
        <v>2840</v>
      </c>
      <c r="C90" s="392">
        <v>1.7</v>
      </c>
      <c r="G90" s="314"/>
      <c r="H90" s="314"/>
      <c r="I90" s="314"/>
      <c r="J90" s="314"/>
      <c r="K90" s="314"/>
      <c r="M90" s="314"/>
      <c r="N90" s="314"/>
      <c r="O90" s="315"/>
      <c r="P90" s="315"/>
      <c r="Q90" s="314"/>
      <c r="R90" s="315"/>
      <c r="S90" s="314"/>
      <c r="T90" s="314"/>
      <c r="U90" s="314"/>
      <c r="V90" s="314"/>
      <c r="W90" s="314"/>
      <c r="X90" s="314"/>
      <c r="Y90" s="314"/>
      <c r="Z90" s="314"/>
      <c r="AA90" s="314"/>
    </row>
    <row r="91" spans="1:27" x14ac:dyDescent="0.25">
      <c r="A91" s="314"/>
      <c r="B91" s="393" t="s">
        <v>2841</v>
      </c>
      <c r="C91" s="392">
        <v>1.3</v>
      </c>
      <c r="G91" s="314"/>
      <c r="H91" s="314"/>
      <c r="I91" s="314"/>
      <c r="J91" s="314"/>
      <c r="K91" s="314"/>
      <c r="M91" s="314"/>
      <c r="N91" s="314"/>
      <c r="O91" s="315"/>
      <c r="P91" s="315"/>
      <c r="Q91" s="314"/>
      <c r="R91" s="315"/>
      <c r="S91" s="314"/>
      <c r="T91" s="314"/>
      <c r="U91" s="314"/>
      <c r="V91" s="314"/>
      <c r="W91" s="314"/>
      <c r="X91" s="314"/>
      <c r="Y91" s="314"/>
      <c r="Z91" s="314"/>
      <c r="AA91" s="314"/>
    </row>
    <row r="92" spans="1:27" x14ac:dyDescent="0.25">
      <c r="A92" s="314"/>
      <c r="B92" s="393" t="s">
        <v>2842</v>
      </c>
      <c r="C92" s="392">
        <v>1.1000000000000001</v>
      </c>
      <c r="G92" s="314"/>
      <c r="H92" s="314"/>
      <c r="I92" s="314"/>
      <c r="J92" s="314"/>
      <c r="K92" s="314"/>
      <c r="M92" s="314"/>
      <c r="N92" s="314"/>
      <c r="O92" s="315"/>
      <c r="P92" s="315"/>
      <c r="Q92" s="314"/>
      <c r="R92" s="315"/>
      <c r="S92" s="314"/>
      <c r="T92" s="314"/>
      <c r="U92" s="314"/>
      <c r="V92" s="314"/>
      <c r="W92" s="314"/>
      <c r="X92" s="314"/>
      <c r="Y92" s="314"/>
      <c r="Z92" s="314"/>
      <c r="AA92" s="314"/>
    </row>
    <row r="93" spans="1:27" x14ac:dyDescent="0.25">
      <c r="A93" s="314"/>
      <c r="B93" s="393" t="s">
        <v>2843</v>
      </c>
      <c r="C93" s="392">
        <v>1.1000000000000001</v>
      </c>
      <c r="G93" s="314"/>
      <c r="H93" s="314"/>
      <c r="I93" s="314"/>
      <c r="J93" s="314"/>
      <c r="K93" s="314"/>
      <c r="M93" s="314"/>
      <c r="N93" s="314"/>
      <c r="O93" s="315"/>
      <c r="P93" s="315"/>
      <c r="Q93" s="314"/>
      <c r="R93" s="315"/>
      <c r="S93" s="314"/>
      <c r="T93" s="314"/>
      <c r="U93" s="314"/>
      <c r="V93" s="314"/>
      <c r="W93" s="314"/>
      <c r="X93" s="314"/>
      <c r="Y93" s="314"/>
      <c r="Z93" s="314"/>
      <c r="AA93" s="314"/>
    </row>
    <row r="94" spans="1:27" x14ac:dyDescent="0.25">
      <c r="A94" s="314"/>
      <c r="B94" s="393" t="s">
        <v>2844</v>
      </c>
      <c r="C94" s="392">
        <v>3.3</v>
      </c>
      <c r="G94" s="314"/>
      <c r="H94" s="314"/>
      <c r="I94" s="314"/>
      <c r="J94" s="314"/>
      <c r="K94" s="314"/>
      <c r="M94" s="314"/>
      <c r="N94" s="314"/>
      <c r="O94" s="315"/>
      <c r="P94" s="315"/>
      <c r="Q94" s="314"/>
      <c r="R94" s="315"/>
      <c r="S94" s="314"/>
      <c r="T94" s="314"/>
      <c r="U94" s="314"/>
      <c r="V94" s="314"/>
      <c r="W94" s="314"/>
      <c r="X94" s="314"/>
      <c r="Y94" s="314"/>
      <c r="Z94" s="314"/>
      <c r="AA94" s="314"/>
    </row>
    <row r="95" spans="1:27" x14ac:dyDescent="0.25">
      <c r="A95" s="314"/>
      <c r="B95" s="393" t="s">
        <v>2845</v>
      </c>
      <c r="C95" s="392">
        <v>1.2</v>
      </c>
      <c r="G95" s="314"/>
      <c r="H95" s="314"/>
      <c r="I95" s="314"/>
      <c r="J95" s="314"/>
      <c r="K95" s="314"/>
      <c r="M95" s="314"/>
      <c r="N95" s="314"/>
      <c r="O95" s="315"/>
      <c r="P95" s="315"/>
      <c r="Q95" s="314"/>
      <c r="R95" s="315"/>
      <c r="S95" s="314"/>
      <c r="T95" s="314"/>
      <c r="U95" s="314"/>
      <c r="V95" s="314"/>
      <c r="W95" s="314"/>
      <c r="X95" s="314"/>
      <c r="Y95" s="314"/>
      <c r="Z95" s="314"/>
      <c r="AA95" s="314"/>
    </row>
    <row r="96" spans="1:27" x14ac:dyDescent="0.25">
      <c r="A96" s="314"/>
      <c r="B96" s="393" t="s">
        <v>2846</v>
      </c>
      <c r="C96" s="392">
        <v>0.8</v>
      </c>
      <c r="G96" s="314"/>
      <c r="H96" s="314"/>
      <c r="I96" s="314"/>
      <c r="J96" s="314"/>
      <c r="K96" s="314"/>
      <c r="M96" s="314"/>
      <c r="N96" s="314"/>
      <c r="O96" s="315"/>
      <c r="P96" s="315"/>
      <c r="Q96" s="314"/>
      <c r="R96" s="315"/>
      <c r="S96" s="314"/>
      <c r="T96" s="314"/>
      <c r="U96" s="314"/>
      <c r="V96" s="314"/>
      <c r="W96" s="314"/>
      <c r="X96" s="314"/>
      <c r="Y96" s="314"/>
      <c r="Z96" s="314"/>
      <c r="AA96" s="314"/>
    </row>
    <row r="97" spans="1:27" x14ac:dyDescent="0.25">
      <c r="A97" s="314"/>
      <c r="B97" s="393" t="s">
        <v>2847</v>
      </c>
      <c r="C97" s="392">
        <v>0.5</v>
      </c>
      <c r="G97" s="314"/>
      <c r="H97" s="314"/>
      <c r="I97" s="314"/>
      <c r="J97" s="314"/>
      <c r="K97" s="314"/>
      <c r="M97" s="314"/>
      <c r="N97" s="314"/>
      <c r="O97" s="315"/>
      <c r="P97" s="315"/>
      <c r="Q97" s="314"/>
      <c r="R97" s="315"/>
      <c r="S97" s="314"/>
      <c r="T97" s="314"/>
      <c r="U97" s="314"/>
      <c r="V97" s="314"/>
      <c r="W97" s="314"/>
      <c r="X97" s="314"/>
      <c r="Y97" s="314"/>
      <c r="Z97" s="314"/>
      <c r="AA97" s="314"/>
    </row>
    <row r="98" spans="1:27" x14ac:dyDescent="0.25">
      <c r="A98" s="314"/>
      <c r="B98" s="393" t="s">
        <v>2848</v>
      </c>
      <c r="C98" s="392">
        <v>2.1</v>
      </c>
      <c r="G98" s="314"/>
      <c r="H98" s="314"/>
      <c r="I98" s="314"/>
      <c r="J98" s="314"/>
      <c r="K98" s="314"/>
      <c r="M98" s="314"/>
      <c r="N98" s="314"/>
      <c r="O98" s="315"/>
      <c r="P98" s="315"/>
      <c r="Q98" s="314"/>
      <c r="R98" s="315"/>
      <c r="S98" s="314"/>
      <c r="T98" s="314"/>
      <c r="U98" s="314"/>
      <c r="V98" s="314"/>
      <c r="W98" s="314"/>
      <c r="X98" s="314"/>
      <c r="Y98" s="314"/>
      <c r="Z98" s="314"/>
      <c r="AA98" s="314"/>
    </row>
    <row r="99" spans="1:27" x14ac:dyDescent="0.25">
      <c r="A99" s="314"/>
      <c r="B99" s="393" t="s">
        <v>2849</v>
      </c>
      <c r="C99" s="392">
        <v>1.2</v>
      </c>
      <c r="G99" s="314"/>
      <c r="H99" s="314"/>
      <c r="I99" s="314"/>
      <c r="J99" s="314"/>
      <c r="K99" s="314"/>
      <c r="M99" s="314"/>
      <c r="N99" s="314"/>
      <c r="O99" s="315"/>
      <c r="P99" s="315"/>
      <c r="Q99" s="314"/>
      <c r="R99" s="315"/>
      <c r="S99" s="314"/>
      <c r="T99" s="314"/>
      <c r="U99" s="314"/>
      <c r="V99" s="314"/>
      <c r="W99" s="314"/>
      <c r="X99" s="314"/>
      <c r="Y99" s="314"/>
      <c r="Z99" s="314"/>
      <c r="AA99" s="314"/>
    </row>
    <row r="100" spans="1:27" x14ac:dyDescent="0.25">
      <c r="A100" s="314"/>
      <c r="B100" s="393" t="s">
        <v>2850</v>
      </c>
      <c r="C100" s="392">
        <v>1.7</v>
      </c>
      <c r="G100" s="314"/>
      <c r="H100" s="314"/>
      <c r="I100" s="314"/>
      <c r="J100" s="314"/>
      <c r="K100" s="314"/>
      <c r="M100" s="314"/>
      <c r="N100" s="314"/>
      <c r="O100" s="315"/>
      <c r="P100" s="315"/>
      <c r="Q100" s="314"/>
      <c r="R100" s="315"/>
      <c r="S100" s="314"/>
      <c r="T100" s="314"/>
      <c r="U100" s="314"/>
      <c r="V100" s="314"/>
      <c r="W100" s="314"/>
      <c r="X100" s="314"/>
      <c r="Y100" s="314"/>
      <c r="Z100" s="314"/>
      <c r="AA100" s="314"/>
    </row>
    <row r="101" spans="1:27" x14ac:dyDescent="0.25">
      <c r="A101" s="314"/>
      <c r="B101" s="393" t="s">
        <v>2851</v>
      </c>
      <c r="C101" s="392">
        <v>1.2</v>
      </c>
      <c r="G101" s="314"/>
      <c r="H101" s="314"/>
      <c r="I101" s="314"/>
      <c r="J101" s="314"/>
      <c r="K101" s="314"/>
      <c r="M101" s="314"/>
      <c r="N101" s="314"/>
      <c r="O101" s="315"/>
      <c r="P101" s="315"/>
      <c r="Q101" s="314"/>
      <c r="R101" s="315"/>
      <c r="S101" s="314"/>
      <c r="T101" s="314"/>
      <c r="U101" s="314"/>
      <c r="V101" s="314"/>
      <c r="W101" s="314"/>
      <c r="X101" s="314"/>
      <c r="Y101" s="314"/>
      <c r="Z101" s="314"/>
      <c r="AA101" s="314"/>
    </row>
    <row r="102" spans="1:27" x14ac:dyDescent="0.25">
      <c r="A102" s="314"/>
      <c r="B102" s="393" t="s">
        <v>2852</v>
      </c>
      <c r="C102" s="392">
        <v>1</v>
      </c>
      <c r="G102" s="314"/>
      <c r="H102" s="314"/>
      <c r="I102" s="314"/>
      <c r="J102" s="314"/>
      <c r="K102" s="314"/>
      <c r="M102" s="314"/>
      <c r="N102" s="314"/>
      <c r="O102" s="315"/>
      <c r="P102" s="315"/>
      <c r="Q102" s="314"/>
      <c r="R102" s="315"/>
      <c r="S102" s="314"/>
      <c r="T102" s="314"/>
      <c r="U102" s="314"/>
      <c r="V102" s="314"/>
      <c r="W102" s="314"/>
      <c r="X102" s="314"/>
      <c r="Y102" s="314"/>
      <c r="Z102" s="314"/>
      <c r="AA102" s="314"/>
    </row>
    <row r="103" spans="1:27" x14ac:dyDescent="0.25">
      <c r="A103" s="314"/>
      <c r="B103" s="393" t="s">
        <v>2853</v>
      </c>
      <c r="C103" s="392">
        <v>1.7</v>
      </c>
      <c r="G103" s="314"/>
      <c r="H103" s="314"/>
      <c r="I103" s="314"/>
      <c r="J103" s="314"/>
      <c r="K103" s="314"/>
      <c r="M103" s="314"/>
      <c r="N103" s="314"/>
      <c r="O103" s="315"/>
      <c r="P103" s="315"/>
      <c r="Q103" s="314"/>
      <c r="R103" s="315"/>
      <c r="S103" s="314"/>
      <c r="T103" s="314"/>
      <c r="U103" s="314"/>
      <c r="V103" s="314"/>
      <c r="W103" s="314"/>
      <c r="X103" s="314"/>
      <c r="Y103" s="314"/>
      <c r="Z103" s="314"/>
      <c r="AA103" s="314"/>
    </row>
    <row r="104" spans="1:27" x14ac:dyDescent="0.25">
      <c r="A104" s="314"/>
      <c r="B104" s="393" t="s">
        <v>483</v>
      </c>
      <c r="C104" s="392">
        <v>1.1000000000000001</v>
      </c>
      <c r="G104" s="314"/>
      <c r="H104" s="314"/>
      <c r="I104" s="314"/>
      <c r="J104" s="314"/>
      <c r="K104" s="314"/>
      <c r="M104" s="314"/>
      <c r="N104" s="314"/>
      <c r="O104" s="315"/>
      <c r="P104" s="315"/>
      <c r="Q104" s="314"/>
      <c r="R104" s="315"/>
      <c r="S104" s="314"/>
      <c r="T104" s="314"/>
      <c r="U104" s="314"/>
      <c r="V104" s="314"/>
      <c r="W104" s="314"/>
      <c r="X104" s="314"/>
      <c r="Y104" s="314"/>
      <c r="Z104" s="314"/>
      <c r="AA104" s="314"/>
    </row>
    <row r="105" spans="1:27" x14ac:dyDescent="0.25">
      <c r="A105" s="314"/>
      <c r="B105" s="393" t="s">
        <v>2854</v>
      </c>
      <c r="C105" s="392">
        <v>1.1000000000000001</v>
      </c>
      <c r="G105" s="314"/>
      <c r="H105" s="314"/>
      <c r="I105" s="314"/>
      <c r="J105" s="314"/>
      <c r="K105" s="314"/>
      <c r="M105" s="314"/>
      <c r="N105" s="314"/>
      <c r="O105" s="315"/>
      <c r="P105" s="315"/>
      <c r="Q105" s="314"/>
      <c r="R105" s="315"/>
      <c r="S105" s="314"/>
      <c r="T105" s="314"/>
      <c r="U105" s="314"/>
      <c r="V105" s="314"/>
      <c r="W105" s="314"/>
      <c r="X105" s="314"/>
      <c r="Y105" s="314"/>
      <c r="Z105" s="314"/>
      <c r="AA105" s="314"/>
    </row>
    <row r="106" spans="1:27" x14ac:dyDescent="0.25">
      <c r="A106" s="314"/>
      <c r="B106" s="393" t="s">
        <v>2855</v>
      </c>
      <c r="C106" s="392">
        <v>0.2</v>
      </c>
      <c r="G106" s="314"/>
      <c r="H106" s="314"/>
      <c r="I106" s="314"/>
      <c r="J106" s="314"/>
      <c r="K106" s="314"/>
      <c r="M106" s="314"/>
      <c r="N106" s="314"/>
      <c r="O106" s="315"/>
      <c r="P106" s="315"/>
      <c r="Q106" s="314"/>
      <c r="R106" s="315"/>
      <c r="S106" s="314"/>
      <c r="T106" s="314"/>
      <c r="U106" s="314"/>
      <c r="V106" s="314"/>
      <c r="W106" s="314"/>
      <c r="X106" s="314"/>
      <c r="Y106" s="314"/>
      <c r="Z106" s="314"/>
      <c r="AA106" s="314"/>
    </row>
    <row r="107" spans="1:27" x14ac:dyDescent="0.25">
      <c r="A107" s="314"/>
      <c r="B107" s="393" t="s">
        <v>2856</v>
      </c>
      <c r="C107" s="392">
        <v>1.2</v>
      </c>
      <c r="G107" s="314"/>
      <c r="H107" s="314"/>
      <c r="I107" s="314"/>
      <c r="J107" s="314"/>
      <c r="K107" s="314"/>
      <c r="M107" s="314"/>
      <c r="N107" s="314"/>
      <c r="O107" s="315"/>
      <c r="P107" s="315"/>
      <c r="Q107" s="314"/>
      <c r="R107" s="315"/>
      <c r="S107" s="314"/>
      <c r="T107" s="314"/>
      <c r="U107" s="314"/>
      <c r="V107" s="314"/>
      <c r="W107" s="314"/>
      <c r="X107" s="314"/>
      <c r="Y107" s="314"/>
      <c r="Z107" s="314"/>
      <c r="AA107" s="314"/>
    </row>
    <row r="108" spans="1:27" x14ac:dyDescent="0.25">
      <c r="A108" s="314"/>
      <c r="B108" s="393" t="s">
        <v>2857</v>
      </c>
      <c r="C108" s="392">
        <v>0.9</v>
      </c>
      <c r="G108" s="314"/>
      <c r="H108" s="314"/>
      <c r="I108" s="314"/>
      <c r="J108" s="314"/>
      <c r="K108" s="314"/>
      <c r="M108" s="314"/>
      <c r="N108" s="314"/>
      <c r="O108" s="315"/>
      <c r="P108" s="315"/>
      <c r="Q108" s="314"/>
      <c r="R108" s="315"/>
      <c r="S108" s="314"/>
      <c r="T108" s="314"/>
      <c r="U108" s="314"/>
      <c r="V108" s="314"/>
      <c r="W108" s="314"/>
      <c r="X108" s="314"/>
      <c r="Y108" s="314"/>
      <c r="Z108" s="314"/>
      <c r="AA108" s="314"/>
    </row>
    <row r="109" spans="1:27" x14ac:dyDescent="0.25">
      <c r="A109" s="314"/>
      <c r="B109" s="393" t="s">
        <v>2858</v>
      </c>
      <c r="C109" s="392">
        <v>2.4</v>
      </c>
      <c r="G109" s="314"/>
      <c r="H109" s="314"/>
      <c r="I109" s="314"/>
      <c r="J109" s="314"/>
      <c r="K109" s="314"/>
      <c r="M109" s="314"/>
      <c r="N109" s="314"/>
      <c r="O109" s="315"/>
      <c r="P109" s="315"/>
      <c r="Q109" s="314"/>
      <c r="R109" s="315"/>
      <c r="S109" s="314"/>
      <c r="T109" s="314"/>
      <c r="U109" s="314"/>
      <c r="V109" s="314"/>
      <c r="W109" s="314"/>
      <c r="X109" s="314"/>
      <c r="Y109" s="314"/>
      <c r="Z109" s="314"/>
      <c r="AA109" s="314"/>
    </row>
    <row r="110" spans="1:27" x14ac:dyDescent="0.25">
      <c r="A110" s="314"/>
      <c r="B110" s="393" t="s">
        <v>2859</v>
      </c>
      <c r="C110" s="392">
        <v>0.9</v>
      </c>
      <c r="G110" s="314"/>
      <c r="H110" s="314"/>
      <c r="I110" s="314"/>
      <c r="J110" s="314"/>
      <c r="K110" s="314"/>
      <c r="M110" s="314"/>
      <c r="N110" s="314"/>
      <c r="O110" s="315"/>
      <c r="P110" s="315"/>
      <c r="Q110" s="314"/>
      <c r="R110" s="315"/>
      <c r="S110" s="314"/>
      <c r="T110" s="314"/>
      <c r="U110" s="314"/>
      <c r="V110" s="314"/>
      <c r="W110" s="314"/>
      <c r="X110" s="314"/>
      <c r="Y110" s="314"/>
      <c r="Z110" s="314"/>
      <c r="AA110" s="314"/>
    </row>
    <row r="111" spans="1:27" x14ac:dyDescent="0.25">
      <c r="A111" s="314"/>
      <c r="B111" s="393" t="s">
        <v>2860</v>
      </c>
      <c r="C111" s="392">
        <v>1.7</v>
      </c>
      <c r="G111" s="314"/>
      <c r="H111" s="314"/>
      <c r="I111" s="314"/>
      <c r="J111" s="314"/>
      <c r="K111" s="314"/>
      <c r="M111" s="314"/>
      <c r="N111" s="314"/>
      <c r="O111" s="315"/>
      <c r="P111" s="315"/>
      <c r="Q111" s="314"/>
      <c r="R111" s="315"/>
      <c r="S111" s="314"/>
      <c r="T111" s="314"/>
      <c r="U111" s="314"/>
      <c r="V111" s="314"/>
      <c r="W111" s="314"/>
      <c r="X111" s="314"/>
      <c r="Y111" s="314"/>
      <c r="Z111" s="314"/>
      <c r="AA111" s="314"/>
    </row>
    <row r="112" spans="1:27" x14ac:dyDescent="0.25">
      <c r="A112" s="314"/>
      <c r="B112" s="393" t="s">
        <v>2861</v>
      </c>
      <c r="C112" s="392">
        <v>1.7</v>
      </c>
      <c r="G112" s="314"/>
      <c r="H112" s="314"/>
      <c r="I112" s="314"/>
      <c r="J112" s="314"/>
      <c r="K112" s="314"/>
      <c r="M112" s="314"/>
      <c r="N112" s="314"/>
      <c r="O112" s="315"/>
      <c r="P112" s="315"/>
      <c r="Q112" s="314"/>
      <c r="R112" s="315"/>
      <c r="S112" s="314"/>
      <c r="T112" s="314"/>
      <c r="U112" s="314"/>
      <c r="V112" s="314"/>
      <c r="W112" s="314"/>
      <c r="X112" s="314"/>
      <c r="Y112" s="314"/>
      <c r="Z112" s="314"/>
      <c r="AA112" s="314"/>
    </row>
    <row r="113" spans="1:27" x14ac:dyDescent="0.25">
      <c r="A113" s="314"/>
      <c r="B113" s="393" t="s">
        <v>2862</v>
      </c>
      <c r="C113" s="392">
        <v>1.7</v>
      </c>
      <c r="G113" s="314"/>
      <c r="H113" s="314"/>
      <c r="I113" s="314"/>
      <c r="J113" s="314"/>
      <c r="K113" s="314"/>
      <c r="M113" s="314"/>
      <c r="N113" s="314"/>
      <c r="O113" s="315"/>
      <c r="P113" s="315"/>
      <c r="Q113" s="314"/>
      <c r="R113" s="315"/>
      <c r="S113" s="314"/>
      <c r="T113" s="314"/>
      <c r="U113" s="314"/>
      <c r="V113" s="314"/>
      <c r="W113" s="314"/>
      <c r="X113" s="314"/>
      <c r="Y113" s="314"/>
      <c r="Z113" s="314"/>
      <c r="AA113" s="314"/>
    </row>
    <row r="114" spans="1:27" x14ac:dyDescent="0.25">
      <c r="A114" s="314"/>
      <c r="B114" s="393" t="s">
        <v>2863</v>
      </c>
      <c r="C114" s="392">
        <v>2.2999999999999998</v>
      </c>
      <c r="G114" s="314"/>
      <c r="H114" s="314"/>
      <c r="I114" s="314"/>
      <c r="J114" s="314"/>
      <c r="K114" s="314"/>
      <c r="M114" s="314"/>
      <c r="N114" s="314"/>
      <c r="O114" s="315"/>
      <c r="P114" s="315"/>
      <c r="Q114" s="314"/>
      <c r="R114" s="315"/>
      <c r="S114" s="314"/>
      <c r="T114" s="314"/>
      <c r="U114" s="314"/>
      <c r="V114" s="314"/>
      <c r="W114" s="314"/>
      <c r="X114" s="314"/>
      <c r="Y114" s="314"/>
      <c r="Z114" s="314"/>
      <c r="AA114" s="314"/>
    </row>
    <row r="115" spans="1:27" x14ac:dyDescent="0.25">
      <c r="A115" s="314"/>
      <c r="B115" s="393" t="s">
        <v>2864</v>
      </c>
      <c r="C115" s="392">
        <v>1.4</v>
      </c>
      <c r="G115" s="314"/>
      <c r="H115" s="314"/>
      <c r="I115" s="314"/>
      <c r="J115" s="314"/>
      <c r="K115" s="314"/>
      <c r="M115" s="314"/>
      <c r="N115" s="314"/>
      <c r="O115" s="315"/>
      <c r="P115" s="315"/>
      <c r="Q115" s="314"/>
      <c r="R115" s="315"/>
      <c r="S115" s="314"/>
      <c r="T115" s="314"/>
      <c r="U115" s="314"/>
      <c r="V115" s="314"/>
      <c r="W115" s="314"/>
      <c r="X115" s="314"/>
      <c r="Y115" s="314"/>
      <c r="Z115" s="314"/>
      <c r="AA115" s="314"/>
    </row>
    <row r="116" spans="1:27" x14ac:dyDescent="0.25">
      <c r="A116" s="314"/>
      <c r="B116" s="393" t="s">
        <v>2865</v>
      </c>
      <c r="C116" s="392">
        <v>2.7</v>
      </c>
      <c r="G116" s="314"/>
      <c r="H116" s="314"/>
      <c r="I116" s="314"/>
      <c r="J116" s="314"/>
      <c r="K116" s="314"/>
      <c r="N116" s="314"/>
      <c r="O116" s="315"/>
      <c r="P116" s="315"/>
      <c r="Q116" s="314"/>
      <c r="R116" s="315"/>
      <c r="S116" s="314"/>
      <c r="T116" s="314"/>
      <c r="U116" s="314"/>
      <c r="V116" s="314"/>
      <c r="W116" s="314"/>
      <c r="X116" s="314"/>
      <c r="Y116" s="314"/>
      <c r="Z116" s="314"/>
      <c r="AA116" s="314"/>
    </row>
    <row r="117" spans="1:27" x14ac:dyDescent="0.25">
      <c r="A117" s="314"/>
      <c r="B117" s="393" t="s">
        <v>2866</v>
      </c>
      <c r="C117" s="392">
        <v>0.6</v>
      </c>
      <c r="G117" s="314"/>
      <c r="H117" s="314"/>
      <c r="I117" s="314"/>
      <c r="J117" s="314"/>
      <c r="K117" s="314"/>
      <c r="N117" s="314"/>
      <c r="O117" s="315"/>
      <c r="P117" s="315"/>
      <c r="Q117" s="314"/>
      <c r="R117" s="315"/>
      <c r="S117" s="314"/>
      <c r="T117" s="314"/>
      <c r="U117" s="314"/>
      <c r="V117" s="314"/>
      <c r="W117" s="314"/>
      <c r="X117" s="314"/>
      <c r="Y117" s="314"/>
      <c r="Z117" s="314"/>
      <c r="AA117" s="314"/>
    </row>
    <row r="118" spans="1:27" x14ac:dyDescent="0.25">
      <c r="A118" s="314"/>
      <c r="B118" s="393" t="s">
        <v>2867</v>
      </c>
      <c r="C118" s="392">
        <v>1</v>
      </c>
      <c r="G118" s="314"/>
      <c r="H118" s="314"/>
      <c r="I118" s="314"/>
      <c r="J118" s="314"/>
      <c r="K118" s="314"/>
      <c r="N118" s="314"/>
      <c r="O118" s="315"/>
      <c r="P118" s="315"/>
      <c r="Q118" s="314"/>
      <c r="R118" s="315"/>
      <c r="S118" s="314"/>
      <c r="T118" s="314"/>
      <c r="U118" s="314"/>
      <c r="V118" s="314"/>
      <c r="W118" s="314"/>
      <c r="X118" s="314"/>
      <c r="Y118" s="314"/>
      <c r="Z118" s="314"/>
      <c r="AA118" s="314"/>
    </row>
    <row r="119" spans="1:27" x14ac:dyDescent="0.25">
      <c r="A119" s="314"/>
      <c r="B119" s="393" t="s">
        <v>2868</v>
      </c>
      <c r="C119" s="392">
        <v>0.6</v>
      </c>
      <c r="G119" s="314"/>
      <c r="H119" s="314"/>
      <c r="I119" s="314"/>
      <c r="J119" s="314"/>
      <c r="K119" s="314"/>
      <c r="N119" s="314"/>
      <c r="O119" s="315"/>
      <c r="P119" s="315"/>
      <c r="Q119" s="314"/>
      <c r="R119" s="315"/>
      <c r="S119" s="314"/>
      <c r="T119" s="314"/>
      <c r="U119" s="314"/>
      <c r="V119" s="314"/>
      <c r="W119" s="314"/>
      <c r="X119" s="314"/>
      <c r="Y119" s="314"/>
      <c r="Z119" s="314"/>
      <c r="AA119" s="314"/>
    </row>
    <row r="120" spans="1:27" x14ac:dyDescent="0.25">
      <c r="A120" s="314"/>
      <c r="B120" s="393" t="s">
        <v>2869</v>
      </c>
      <c r="C120" s="392">
        <v>1.5</v>
      </c>
      <c r="G120" s="314"/>
      <c r="H120" s="314"/>
      <c r="I120" s="314"/>
      <c r="J120" s="314"/>
      <c r="K120" s="314"/>
      <c r="N120" s="314"/>
      <c r="O120" s="315"/>
      <c r="P120" s="315"/>
      <c r="Q120" s="314"/>
      <c r="R120" s="315"/>
      <c r="S120" s="314"/>
      <c r="T120" s="314"/>
      <c r="U120" s="314"/>
      <c r="V120" s="314"/>
      <c r="W120" s="314"/>
      <c r="X120" s="314"/>
      <c r="Y120" s="314"/>
      <c r="Z120" s="314"/>
      <c r="AA120" s="314"/>
    </row>
    <row r="121" spans="1:27" x14ac:dyDescent="0.25">
      <c r="A121" s="314"/>
      <c r="B121" s="393" t="s">
        <v>2870</v>
      </c>
      <c r="C121" s="392">
        <v>1.4</v>
      </c>
      <c r="D121" s="313"/>
      <c r="G121" s="314"/>
      <c r="H121" s="314"/>
      <c r="I121" s="314"/>
      <c r="J121" s="314"/>
      <c r="K121" s="314"/>
      <c r="N121" s="314"/>
      <c r="O121" s="315"/>
      <c r="P121" s="315"/>
      <c r="Q121" s="314"/>
      <c r="R121" s="315"/>
      <c r="S121" s="314"/>
      <c r="T121" s="314"/>
      <c r="U121" s="314"/>
      <c r="V121" s="314"/>
      <c r="W121" s="314"/>
      <c r="X121" s="314"/>
      <c r="Y121" s="314"/>
      <c r="Z121" s="314"/>
      <c r="AA121" s="314"/>
    </row>
    <row r="122" spans="1:27" x14ac:dyDescent="0.25">
      <c r="B122" s="393" t="s">
        <v>2871</v>
      </c>
      <c r="C122" s="392">
        <v>0.9</v>
      </c>
      <c r="D122" s="313"/>
      <c r="E122" s="313"/>
      <c r="F122" s="313"/>
      <c r="G122" s="313"/>
      <c r="H122" s="314"/>
      <c r="I122" s="314"/>
      <c r="J122" s="314"/>
      <c r="K122" s="314"/>
      <c r="N122" s="314"/>
      <c r="U122" s="314"/>
      <c r="V122" s="314"/>
      <c r="W122" s="314"/>
      <c r="X122" s="314"/>
      <c r="Y122" s="314"/>
      <c r="Z122" s="314"/>
      <c r="AA122" s="314"/>
    </row>
    <row r="123" spans="1:27" x14ac:dyDescent="0.25">
      <c r="B123" s="393" t="s">
        <v>2815</v>
      </c>
      <c r="C123" s="392">
        <v>1.9</v>
      </c>
      <c r="D123" s="313"/>
      <c r="E123" s="313"/>
      <c r="F123" s="313"/>
      <c r="G123" s="313"/>
      <c r="H123" s="314"/>
      <c r="I123" s="314"/>
      <c r="J123" s="314"/>
      <c r="N123" s="314"/>
      <c r="V123" s="314"/>
      <c r="W123" s="314"/>
      <c r="X123" s="314"/>
    </row>
    <row r="124" spans="1:27" x14ac:dyDescent="0.25">
      <c r="B124" s="393" t="s">
        <v>2956</v>
      </c>
      <c r="C124" s="392">
        <v>0.15</v>
      </c>
      <c r="D124" s="394"/>
      <c r="E124" s="313"/>
      <c r="F124" s="313"/>
      <c r="G124" s="313"/>
      <c r="H124" s="314"/>
      <c r="I124" s="314"/>
      <c r="J124" s="314"/>
    </row>
    <row r="125" spans="1:27" x14ac:dyDescent="0.25">
      <c r="B125" s="393" t="s">
        <v>2957</v>
      </c>
      <c r="C125" s="392">
        <v>1</v>
      </c>
      <c r="D125" s="394" t="s">
        <v>2974</v>
      </c>
      <c r="E125" s="394"/>
      <c r="F125" s="394"/>
      <c r="G125" s="394"/>
      <c r="H125" s="394"/>
      <c r="I125" s="394"/>
    </row>
    <row r="126" spans="1:27" x14ac:dyDescent="0.25">
      <c r="B126" s="393" t="s">
        <v>2958</v>
      </c>
      <c r="C126" s="392">
        <v>0.2</v>
      </c>
      <c r="D126" s="394"/>
      <c r="E126" s="394"/>
      <c r="F126" s="394"/>
      <c r="G126" s="394"/>
      <c r="H126" s="394"/>
      <c r="I126" s="394"/>
    </row>
    <row r="127" spans="1:27" x14ac:dyDescent="0.25">
      <c r="B127" s="393" t="s">
        <v>2959</v>
      </c>
      <c r="C127" s="392">
        <v>0.2</v>
      </c>
      <c r="D127" s="394"/>
      <c r="E127" s="394"/>
      <c r="F127" s="394"/>
      <c r="G127" s="394"/>
      <c r="H127" s="394"/>
      <c r="I127" s="394"/>
    </row>
    <row r="128" spans="1:27" x14ac:dyDescent="0.25">
      <c r="B128" s="393" t="s">
        <v>2960</v>
      </c>
      <c r="C128" s="392">
        <v>0.2</v>
      </c>
      <c r="D128" s="394"/>
      <c r="E128" s="394"/>
      <c r="F128" s="394"/>
      <c r="G128" s="394"/>
      <c r="H128" s="394"/>
      <c r="I128" s="394"/>
    </row>
    <row r="129" spans="2:9" x14ac:dyDescent="0.25">
      <c r="B129" s="393" t="s">
        <v>2961</v>
      </c>
      <c r="C129" s="392">
        <v>1</v>
      </c>
      <c r="D129" s="394"/>
      <c r="E129" s="394"/>
      <c r="F129" s="394"/>
      <c r="G129" s="394"/>
      <c r="H129" s="394"/>
      <c r="I129" s="394"/>
    </row>
    <row r="130" spans="2:9" x14ac:dyDescent="0.25">
      <c r="B130" s="393" t="s">
        <v>2962</v>
      </c>
      <c r="C130" s="392">
        <v>30</v>
      </c>
      <c r="D130" s="394" t="s">
        <v>2979</v>
      </c>
      <c r="E130" s="394"/>
      <c r="F130" s="394"/>
      <c r="G130" s="394"/>
      <c r="H130" s="394"/>
      <c r="I130" s="394"/>
    </row>
    <row r="131" spans="2:9" x14ac:dyDescent="0.25">
      <c r="B131" s="393" t="s">
        <v>2963</v>
      </c>
      <c r="C131" s="392">
        <v>20</v>
      </c>
      <c r="D131" s="394" t="s">
        <v>2979</v>
      </c>
      <c r="E131" s="394"/>
      <c r="F131" s="394"/>
      <c r="G131" s="394"/>
      <c r="H131" s="394"/>
      <c r="I131" s="394"/>
    </row>
    <row r="132" spans="2:9" x14ac:dyDescent="0.25">
      <c r="B132" s="393" t="s">
        <v>2977</v>
      </c>
      <c r="C132" s="360">
        <v>1.25</v>
      </c>
      <c r="D132" s="394"/>
      <c r="E132" s="394"/>
      <c r="F132" s="394"/>
      <c r="G132" s="394"/>
      <c r="H132" s="394"/>
      <c r="I132" s="394"/>
    </row>
    <row r="133" spans="2:9" x14ac:dyDescent="0.25">
      <c r="B133" s="393" t="s">
        <v>2964</v>
      </c>
      <c r="C133" s="360">
        <v>0.5</v>
      </c>
      <c r="D133" s="394"/>
      <c r="E133" s="394"/>
      <c r="F133" s="394"/>
      <c r="G133" s="394"/>
      <c r="H133" s="394"/>
      <c r="I133" s="394"/>
    </row>
    <row r="134" spans="2:9" x14ac:dyDescent="0.25">
      <c r="B134" s="393" t="s">
        <v>2965</v>
      </c>
      <c r="C134" s="360">
        <v>20</v>
      </c>
      <c r="D134" s="394" t="s">
        <v>2974</v>
      </c>
      <c r="E134" s="394"/>
      <c r="F134" s="394"/>
      <c r="G134" s="394"/>
      <c r="H134" s="394"/>
      <c r="I134" s="394"/>
    </row>
    <row r="135" spans="2:9" x14ac:dyDescent="0.25">
      <c r="B135" s="393" t="s">
        <v>2966</v>
      </c>
      <c r="C135" s="360">
        <v>0.2</v>
      </c>
      <c r="D135" s="394"/>
      <c r="E135" s="394"/>
      <c r="F135" s="394"/>
      <c r="G135" s="394"/>
      <c r="H135" s="394"/>
      <c r="I135" s="394"/>
    </row>
    <row r="136" spans="2:9" x14ac:dyDescent="0.25">
      <c r="B136" s="393" t="s">
        <v>2967</v>
      </c>
      <c r="C136" s="360">
        <v>5</v>
      </c>
      <c r="D136" s="394" t="s">
        <v>2974</v>
      </c>
      <c r="E136" s="394"/>
      <c r="F136" s="394"/>
      <c r="G136" s="394"/>
      <c r="H136" s="394"/>
      <c r="I136" s="394"/>
    </row>
    <row r="137" spans="2:9" x14ac:dyDescent="0.25">
      <c r="B137" s="393" t="s">
        <v>2968</v>
      </c>
      <c r="C137" s="360">
        <v>270</v>
      </c>
      <c r="D137" s="394" t="s">
        <v>2980</v>
      </c>
      <c r="E137" s="394"/>
      <c r="F137" s="394"/>
      <c r="G137" s="394"/>
      <c r="H137" s="394"/>
      <c r="I137" s="394"/>
    </row>
    <row r="138" spans="2:9" x14ac:dyDescent="0.25">
      <c r="B138" s="393" t="s">
        <v>2969</v>
      </c>
      <c r="C138" s="360">
        <v>90</v>
      </c>
      <c r="D138" s="394" t="s">
        <v>2981</v>
      </c>
      <c r="E138" s="394"/>
      <c r="F138" s="394"/>
      <c r="G138" s="394"/>
      <c r="H138" s="394"/>
      <c r="I138" s="394"/>
    </row>
    <row r="139" spans="2:9" x14ac:dyDescent="0.25">
      <c r="B139" s="393" t="s">
        <v>2970</v>
      </c>
      <c r="C139" s="360">
        <v>1.25</v>
      </c>
      <c r="D139" s="394"/>
      <c r="E139" s="394"/>
      <c r="F139" s="394"/>
      <c r="G139" s="394"/>
      <c r="H139" s="394"/>
      <c r="I139" s="394"/>
    </row>
    <row r="140" spans="2:9" x14ac:dyDescent="0.25">
      <c r="B140" s="393" t="s">
        <v>2971</v>
      </c>
      <c r="C140" s="360">
        <v>0.5</v>
      </c>
      <c r="D140" s="394"/>
      <c r="E140" s="394"/>
      <c r="F140" s="394"/>
      <c r="G140" s="394"/>
      <c r="H140" s="394"/>
      <c r="I140" s="394"/>
    </row>
    <row r="141" spans="2:9" x14ac:dyDescent="0.25">
      <c r="B141" s="393" t="s">
        <v>2972</v>
      </c>
      <c r="C141" s="360">
        <v>400</v>
      </c>
      <c r="D141" s="394" t="s">
        <v>2982</v>
      </c>
      <c r="E141" s="394"/>
      <c r="F141" s="394"/>
      <c r="G141" s="394"/>
      <c r="H141" s="394"/>
      <c r="I141" s="394"/>
    </row>
    <row r="142" spans="2:9" x14ac:dyDescent="0.25">
      <c r="B142" s="393" t="s">
        <v>2973</v>
      </c>
      <c r="C142" s="360">
        <v>800</v>
      </c>
      <c r="D142" s="394" t="s">
        <v>2983</v>
      </c>
      <c r="E142" s="394"/>
      <c r="F142" s="394"/>
      <c r="G142" s="394"/>
      <c r="H142" s="394"/>
      <c r="I142" s="394"/>
    </row>
    <row r="143" spans="2:9" x14ac:dyDescent="0.25">
      <c r="D143" s="313"/>
      <c r="E143" s="394"/>
      <c r="F143" s="394"/>
      <c r="G143" s="394"/>
      <c r="H143" s="394"/>
      <c r="I143" s="394"/>
    </row>
    <row r="144" spans="2:9" x14ac:dyDescent="0.25">
      <c r="E144" s="313"/>
      <c r="F144" s="313"/>
      <c r="G144" s="395"/>
    </row>
  </sheetData>
  <sheetProtection password="C2D4" sheet="1" objects="1" scenarios="1"/>
  <mergeCells count="56">
    <mergeCell ref="I37:J37"/>
    <mergeCell ref="T5:T6"/>
    <mergeCell ref="V5:X6"/>
    <mergeCell ref="B1:M1"/>
    <mergeCell ref="L13:N16"/>
    <mergeCell ref="T14:T15"/>
    <mergeCell ref="B5:B6"/>
    <mergeCell ref="C5:D6"/>
    <mergeCell ref="E5:F6"/>
    <mergeCell ref="G5:H6"/>
    <mergeCell ref="I5:J6"/>
    <mergeCell ref="I45:J45"/>
    <mergeCell ref="P23:R24"/>
    <mergeCell ref="B24:J26"/>
    <mergeCell ref="L5:N6"/>
    <mergeCell ref="P5:R6"/>
    <mergeCell ref="I38:J38"/>
    <mergeCell ref="B28:C29"/>
    <mergeCell ref="E28:J29"/>
    <mergeCell ref="E30:G30"/>
    <mergeCell ref="I30:J30"/>
    <mergeCell ref="I31:J31"/>
    <mergeCell ref="I32:J32"/>
    <mergeCell ref="I33:J33"/>
    <mergeCell ref="I34:J34"/>
    <mergeCell ref="I35:J35"/>
    <mergeCell ref="I36:J36"/>
    <mergeCell ref="I41:J41"/>
    <mergeCell ref="I42:J42"/>
    <mergeCell ref="I43:J43"/>
    <mergeCell ref="P41:R43"/>
    <mergeCell ref="I44:J44"/>
    <mergeCell ref="I56:J56"/>
    <mergeCell ref="I57:J57"/>
    <mergeCell ref="I46:J46"/>
    <mergeCell ref="I47:J47"/>
    <mergeCell ref="I48:J48"/>
    <mergeCell ref="I49:J49"/>
    <mergeCell ref="I50:J50"/>
    <mergeCell ref="I51:J51"/>
    <mergeCell ref="I40:J40"/>
    <mergeCell ref="E68:J70"/>
    <mergeCell ref="I39:J39"/>
    <mergeCell ref="I65:J65"/>
    <mergeCell ref="I66:J66"/>
    <mergeCell ref="I67:J67"/>
    <mergeCell ref="I58:J58"/>
    <mergeCell ref="I59:J59"/>
    <mergeCell ref="I60:J60"/>
    <mergeCell ref="I61:J61"/>
    <mergeCell ref="I62:J62"/>
    <mergeCell ref="I64:J64"/>
    <mergeCell ref="I52:J52"/>
    <mergeCell ref="I53:J53"/>
    <mergeCell ref="I54:J54"/>
    <mergeCell ref="I55:J5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B098EDDF-DD02-41A3-9A40-F22AB7CD1733}">
            <xm:f>$B8=VLOOKUP('General Information'!$D$23,LPD_BuildingArea,5,FALSE)</xm:f>
            <x14:dxf>
              <fill>
                <patternFill>
                  <bgColor rgb="FFFFFF00"/>
                </patternFill>
              </fill>
            </x14:dxf>
          </x14:cfRule>
          <xm:sqref>B8:J23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Manual</vt:lpstr>
      <vt:lpstr>Changelog</vt:lpstr>
      <vt:lpstr>Glossary</vt:lpstr>
      <vt:lpstr>General Information</vt:lpstr>
      <vt:lpstr>Lighting Inventory</vt:lpstr>
      <vt:lpstr>Fixture Identities</vt:lpstr>
      <vt:lpstr>Summary</vt:lpstr>
      <vt:lpstr>Lookups</vt:lpstr>
      <vt:lpstr>HOU_CF_IF</vt:lpstr>
      <vt:lpstr>LED_Codes</vt:lpstr>
      <vt:lpstr>LPD_BuildingArea</vt:lpstr>
      <vt:lpstr>LPD_SpaceBySpace</vt:lpstr>
      <vt:lpstr>Space_Type_Details</vt:lpstr>
      <vt:lpstr>SVG_Factors</vt:lpstr>
      <vt:lpstr>SVG_Factors_NC</vt:lpstr>
      <vt:lpstr>Wattage_Table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DeCicco, Victoria</dc:creator>
  <cp:lastModifiedBy>megagood</cp:lastModifiedBy>
  <cp:lastPrinted>2015-02-12T13:19:23Z</cp:lastPrinted>
  <dcterms:created xsi:type="dcterms:W3CDTF">2015-02-10T14:02:11Z</dcterms:created>
  <dcterms:modified xsi:type="dcterms:W3CDTF">2015-03-17T12:49:53Z</dcterms:modified>
</cp:coreProperties>
</file>